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Orders" sheetId="1" state="visible" r:id="rId1"/>
    <sheet name="Summary" sheetId="2" state="visible" r:id="rId2"/>
    <sheet name="Sources" sheetId="3" state="visible" r:id="rId3"/>
  </sheets>
  <definedNames>
    <definedName name="COUNTRY">'Orders'!$D$7</definedName>
    <definedName name="FX_IN">'Orders'!$D$8</definedName>
    <definedName name="FX_USD">'Orders'!$E$8</definedName>
    <definedName name="VAT_ON">'Orders'!$D$9</definedName>
    <definedName name="VAT_FEES">'Orders'!$E$9</definedName>
    <definedName name="ETSY_10K">'Orders'!$D$10</definedName>
    <definedName name="ETSY_OFFSITE">'Orders'!$E$10</definedName>
    <definedName name="SHOP_PLAN">'Orders'!$D$11</definedName>
    <definedName name="SHOP_TABLE">'Orders'!$E$11</definedName>
    <definedName name="ETSY_LISTING_USD">'Orders'!$E$12</definedName>
    <definedName name="ETSY_TXN">'Orders'!$E$13</definedName>
    <definedName name="ETSY_PROC_PCT">'Orders'!$E$14</definedName>
    <definedName name="ETSY_PROC_FIXED">'Orders'!$E$15</definedName>
    <definedName name="ETSY_REG">'Orders'!$E$16</definedName>
    <definedName name="ETSY_OFFSITE_CAP_USD">'Orders'!$E$17</definedName>
    <definedName name="SHOP_STD">'Orders'!$E$18</definedName>
    <definedName name="SHOP_INTL">'Orders'!$E$19</definedName>
    <definedName name="SHOP_CARD_FIXED">'Orders'!$E$20</definedName>
    <definedName name="SUM_YEAR">'Summary'!$B$3</definedName>
  </definedNames>
  <calcPr calcId="124519" fullCalcOnLoad="1"/>
</workbook>
</file>

<file path=xl/styles.xml><?xml version="1.0" encoding="utf-8"?>
<styleSheet xmlns="http://schemas.openxmlformats.org/spreadsheetml/2006/main">
  <numFmts count="5">
    <numFmt numFmtId="164" formatCode="0.0000"/>
    <numFmt numFmtId="165" formatCode="yyyy-mm-dd"/>
    <numFmt numFmtId="166" formatCode="mmm yyyy"/>
    <numFmt numFmtId="167" formatCode="#,##0.00;-#,##0.00;&quot;&quot;"/>
    <numFmt numFmtId="168" formatCode="0.0%;-0.0%;&quot;&quot;"/>
  </numFmts>
  <fonts count="17">
    <font>
      <name val="Calibri"/>
      <family val="2"/>
      <color theme="1"/>
      <sz val="11"/>
      <scheme val="minor"/>
    </font>
    <font>
      <b val="1"/>
      <color rgb="002B2140"/>
      <sz val="16"/>
    </font>
    <font>
      <i val="1"/>
      <color rgb="00555560"/>
    </font>
    <font>
      <b val="1"/>
      <color rgb="00FFFFFF"/>
    </font>
    <font>
      <b val="1"/>
      <color rgb="00B91C1C"/>
    </font>
    <font>
      <i val="1"/>
    </font>
    <font>
      <b val="1"/>
    </font>
    <font>
      <b val="1"/>
      <color rgb="006E32B8"/>
      <sz val="12"/>
    </font>
    <font>
      <color rgb="001B4D2A"/>
    </font>
    <font>
      <b val="1"/>
      <color rgb="006E32B8"/>
    </font>
    <font/>
    <font>
      <color rgb="001F4E9E"/>
    </font>
    <font>
      <color rgb="00222222"/>
    </font>
    <font>
      <b val="1"/>
      <color rgb="001F4E9E"/>
    </font>
    <font>
      <b val="1"/>
      <color rgb="00555560"/>
    </font>
    <font>
      <b val="1"/>
      <color rgb="00222222"/>
    </font>
    <font>
      <color rgb="006E32B8"/>
    </font>
  </fonts>
  <fills count="6">
    <fill>
      <patternFill/>
    </fill>
    <fill>
      <patternFill patternType="gray125"/>
    </fill>
    <fill>
      <patternFill patternType="solid">
        <fgColor rgb="002B2140"/>
      </patternFill>
    </fill>
    <fill>
      <patternFill patternType="solid">
        <fgColor rgb="00E2F0E5"/>
      </patternFill>
    </fill>
    <fill>
      <patternFill patternType="solid">
        <fgColor rgb="00FFF4CC"/>
      </patternFill>
    </fill>
    <fill>
      <patternFill patternType="solid">
        <fgColor rgb="00EDEDED"/>
      </patternFill>
    </fill>
  </fills>
  <borders count="6">
    <border>
      <left/>
      <right/>
      <top/>
      <bottom/>
      <diagonal/>
    </border>
    <border>
      <left style="thin">
        <color rgb="00D5D5CC"/>
      </left>
      <right style="thin">
        <color rgb="00D5D5CC"/>
      </right>
      <top style="thin">
        <color rgb="00D5D5CC"/>
      </top>
      <bottom style="thin">
        <color rgb="00D5D5CC"/>
      </bottom>
    </border>
    <border>
      <left/>
      <right/>
      <top style="thin">
        <color rgb="00D5D5CC"/>
      </top>
      <bottom/>
      <diagonal/>
    </border>
    <border>
      <left/>
      <right style="thin">
        <color rgb="00D5D5CC"/>
      </right>
      <top style="thin">
        <color rgb="00D5D5CC"/>
      </top>
      <bottom/>
      <diagonal/>
    </border>
    <border>
      <left/>
      <right/>
      <top style="thin">
        <color rgb="00D5D5CC"/>
      </top>
      <bottom style="thin">
        <color rgb="00D5D5CC"/>
      </bottom>
      <diagonal/>
    </border>
    <border>
      <left/>
      <right style="thin">
        <color rgb="00D5D5CC"/>
      </right>
      <top style="thin">
        <color rgb="00D5D5CC"/>
      </top>
      <bottom style="thin">
        <color rgb="00D5D5CC"/>
      </bottom>
      <diagonal/>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9" fillId="0" borderId="0" pivotButton="0" quotePrefix="0" xfId="0"/>
    <xf numFmtId="0" fontId="7" fillId="0" borderId="0" pivotButton="0" quotePrefix="0" xfId="0"/>
    <xf numFmtId="0" fontId="3" fillId="2" borderId="1" applyAlignment="1" pivotButton="0" quotePrefix="0" xfId="0">
      <alignment vertical="center" wrapText="1"/>
    </xf>
    <xf numFmtId="0" fontId="10" fillId="0" borderId="0" pivotButton="0" quotePrefix="0" xfId="0"/>
    <xf numFmtId="0" fontId="11" fillId="4" borderId="1" applyProtection="1" pivotButton="0" quotePrefix="0" xfId="0">
      <protection locked="0" hidden="0"/>
    </xf>
    <xf numFmtId="164" fontId="12" fillId="5" borderId="1" pivotButton="0" quotePrefix="0" xfId="0"/>
    <xf numFmtId="10" fontId="12" fillId="5" borderId="1" pivotButton="0" quotePrefix="0" xfId="0"/>
    <xf numFmtId="0" fontId="12" fillId="5" borderId="1" pivotButton="0" quotePrefix="0" xfId="0"/>
    <xf numFmtId="2" fontId="12" fillId="5" borderId="1" pivotButton="0" quotePrefix="0" xfId="0"/>
    <xf numFmtId="4" fontId="12" fillId="5" borderId="1" pivotButton="0" quotePrefix="0" xfId="0"/>
    <xf numFmtId="0" fontId="0" fillId="0" borderId="4" pivotButton="0" quotePrefix="0" xfId="0"/>
    <xf numFmtId="0" fontId="0" fillId="0" borderId="5" pivotButton="0" quotePrefix="0" xfId="0"/>
    <xf numFmtId="0" fontId="13" fillId="0" borderId="0" pivotButton="0" quotePrefix="0" xfId="0"/>
    <xf numFmtId="0" fontId="14" fillId="0" borderId="0" pivotButton="0" quotePrefix="0" xfId="0"/>
    <xf numFmtId="165" fontId="11" fillId="4" borderId="1" applyProtection="1" pivotButton="0" quotePrefix="0" xfId="0">
      <protection locked="0" hidden="0"/>
    </xf>
    <xf numFmtId="4" fontId="11" fillId="4" borderId="1" applyProtection="1" pivotButton="0" quotePrefix="0" xfId="0">
      <protection locked="0" hidden="0"/>
    </xf>
    <xf numFmtId="166" fontId="12" fillId="5" borderId="1" pivotButton="0" quotePrefix="0" xfId="0"/>
    <xf numFmtId="167" fontId="12" fillId="5" borderId="1" pivotButton="0" quotePrefix="0" xfId="0"/>
    <xf numFmtId="168" fontId="12" fillId="5" borderId="1" pivotButton="0" quotePrefix="0" xfId="0"/>
    <xf numFmtId="0" fontId="6" fillId="0" borderId="0" pivotButton="0" quotePrefix="0" xfId="0"/>
    <xf numFmtId="1" fontId="11" fillId="4" borderId="1" applyProtection="1" pivotButton="0" quotePrefix="0" xfId="0">
      <protection locked="0" hidden="0"/>
    </xf>
    <xf numFmtId="1" fontId="12" fillId="5" borderId="1" pivotButton="0" quotePrefix="0" xfId="0"/>
    <xf numFmtId="4" fontId="15" fillId="5" borderId="1" pivotButton="0" quotePrefix="0" xfId="0"/>
    <xf numFmtId="10" fontId="15" fillId="5" borderId="1" pivotButton="0" quotePrefix="0" xfId="0"/>
    <xf numFmtId="0" fontId="15" fillId="5" borderId="1" pivotButton="0" quotePrefix="0" xfId="0"/>
    <xf numFmtId="1" fontId="15" fillId="5" borderId="1" pivotButton="0" quotePrefix="0" xfId="0"/>
    <xf numFmtId="0" fontId="16" fillId="0" borderId="0" pivotButton="0" quotePrefix="0" xfId="0"/>
    <xf numFmtId="0" fontId="5" fillId="0" borderId="0" pivotButton="0" quotePrefix="0" xfId="0"/>
    <xf numFmtId="0" fontId="0" fillId="0" borderId="1" applyAlignment="1" pivotButton="0" quotePrefix="0" xfId="0">
      <alignment vertical="top" wrapText="1"/>
    </xf>
    <xf numFmtId="0" fontId="4" fillId="0" borderId="1" applyAlignment="1" pivotButton="0" quotePrefix="0" xfId="0">
      <alignment vertical="top" wrapText="1"/>
    </xf>
    <xf numFmtId="0" fontId="8" fillId="3" borderId="1" pivotButton="0" quotePrefix="0" xfId="0"/>
    <xf numFmtId="10" fontId="8" fillId="3" borderId="1" pivotButton="0" quotePrefix="0" xfId="0"/>
    <xf numFmtId="4" fontId="8" fillId="3" borderId="1" pivotButton="0" quotePrefix="0" xfId="0"/>
  </cellXfs>
  <cellStyles count="1">
    <cellStyle name="Normal" xfId="0" builtinId="0" hidden="0"/>
  </cellStyles>
  <dxfs count="1">
    <dxf>
      <font>
        <b val="1"/>
        <color rgb="00B91C1C"/>
      </font>
      <fill>
        <patternFill patternType="solid">
          <fgColor rgb="00FBE7E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56"/>
  <sheetViews>
    <sheetView workbookViewId="0">
      <pane xSplit="2" ySplit="24" topLeftCell="C25" activePane="bottomRight" state="frozen"/>
      <selection pane="topRight"/>
      <selection pane="bottomLeft"/>
      <selection pane="bottomRight" activeCell="A1" sqref="A1"/>
    </sheetView>
  </sheetViews>
  <sheetFormatPr baseColWidth="8" defaultRowHeight="15"/>
  <cols>
    <col width="13" customWidth="1" min="1" max="1"/>
    <col width="12" customWidth="1" min="2" max="2"/>
    <col width="11" customWidth="1" min="3" max="3"/>
    <col width="11" customWidth="1" min="4" max="4"/>
    <col width="10" customWidth="1" min="5" max="5"/>
    <col width="9" customWidth="1" min="6" max="6"/>
    <col width="10" customWidth="1" min="7" max="7"/>
    <col width="10" customWidth="1" min="8" max="8"/>
    <col width="11" customWidth="1" min="9" max="9"/>
    <col width="10" customWidth="1" min="10" max="10"/>
    <col width="10" customWidth="1" min="11" max="11"/>
    <col width="10" customWidth="1" min="12" max="12"/>
    <col width="10" customWidth="1" min="13" max="13"/>
    <col width="11" customWidth="1" min="14" max="14"/>
    <col width="11" customWidth="1" min="15" max="15"/>
    <col width="12" customWidth="1" min="16" max="16"/>
    <col width="10" customWidth="1" min="17" max="17"/>
    <col width="9" customWidth="1" min="18" max="18"/>
    <col width="10" customWidth="1" min="19" max="19"/>
    <col width="11" customWidth="1" min="20" max="20"/>
    <col width="8" customWidth="1" min="21" max="21"/>
  </cols>
  <sheetData>
    <row r="1">
      <c r="A1" s="1" t="inlineStr">
        <is>
          <t>True Profit Ledger LITE: what each Etsy and Shopify order really earns</t>
        </is>
      </c>
    </row>
    <row r="2">
      <c r="A2" s="2" t="inlineStr">
        <is>
          <t>Free version: 30 order rows. Fee defaults checked 2026-10-11 (see Sources). Not tax advice.</t>
        </is>
      </c>
    </row>
    <row r="3">
      <c r="A3" s="3" t="inlineStr">
        <is>
          <t>FULL VERSION (EUR 19, one-time): 1,000 order lines, products and unit costs, returns, ads and costs, monthly dashboard, month-end pack, price lab, Shopify CSV import. https://xndr.io/profit-ledger</t>
        </is>
      </c>
    </row>
    <row r="5">
      <c r="A5" s="4" t="inlineStr">
        <is>
          <t>Settings (yellow = yours)</t>
        </is>
      </c>
    </row>
    <row r="6">
      <c r="A6" s="5" t="inlineStr">
        <is>
          <t>Setting</t>
        </is>
      </c>
      <c r="D6" s="5" t="inlineStr">
        <is>
          <t>Your choice</t>
        </is>
      </c>
      <c r="E6" s="5" t="inlineStr">
        <is>
          <t>Rate used</t>
        </is>
      </c>
      <c r="G6" s="5" t="inlineStr">
        <is>
          <t>Source</t>
        </is>
      </c>
    </row>
    <row r="7">
      <c r="A7" s="6" t="inlineStr">
        <is>
          <t>Country of your bank account / store</t>
        </is>
      </c>
      <c r="D7" s="7" t="inlineStr">
        <is>
          <t>United Kingdom</t>
        </is>
      </c>
      <c r="G7" t="inlineStr">
        <is>
          <t>E3</t>
        </is>
      </c>
    </row>
    <row r="8">
      <c r="A8" s="6" t="inlineStr">
        <is>
          <t>1 USD in your shop currency (for Etsy's USD fees)</t>
        </is>
      </c>
      <c r="D8" s="7" t="n"/>
      <c r="E8" s="8">
        <f>IF(D8="",1,D8)</f>
        <v/>
      </c>
      <c r="G8" t="inlineStr">
        <is>
          <t>E1, E2</t>
        </is>
      </c>
    </row>
    <row r="9">
      <c r="A9" s="6" t="inlineStr">
        <is>
          <t>Pay VAT on platform fees you cannot reclaim?</t>
        </is>
      </c>
      <c r="D9" s="7" t="inlineStr">
        <is>
          <t>Yes</t>
        </is>
      </c>
      <c r="E9" s="9">
        <f>IF(VAT_ON="Yes",IFERROR(VLOOKUP(COUNTRY,'Sources'!$A$28:$I$56,6,FALSE)+0,0),0)</f>
        <v/>
      </c>
      <c r="G9" t="inlineStr">
        <is>
          <t>E5, V1, V2</t>
        </is>
      </c>
    </row>
    <row r="10">
      <c r="A10" s="6" t="inlineStr">
        <is>
          <t>Etsy sales in past 365 days of USD 10,000 or more?</t>
        </is>
      </c>
      <c r="D10" s="7" t="inlineStr">
        <is>
          <t>No</t>
        </is>
      </c>
      <c r="E10" s="9">
        <f>IF(ETSY_10K="Yes",0.12,0.15)</f>
        <v/>
      </c>
      <c r="G10" t="inlineStr">
        <is>
          <t>E2</t>
        </is>
      </c>
    </row>
    <row r="11">
      <c r="A11" s="6" t="inlineStr">
        <is>
          <t>Shopify plan (Shopify Payments)</t>
        </is>
      </c>
      <c r="D11" s="7" t="inlineStr">
        <is>
          <t>Basic</t>
        </is>
      </c>
      <c r="E11" s="10">
        <f>IFERROR(VLOOKUP(COUNTRY,'Sources'!$A$28:$I$56,7,FALSE),"Other")</f>
        <v/>
      </c>
      <c r="G11" t="inlineStr">
        <is>
          <t>S1-S4</t>
        </is>
      </c>
    </row>
    <row r="12">
      <c r="A12" s="6" t="inlineStr">
        <is>
          <t>Etsy listing fee per order (USD 0.20, auto-renew)</t>
        </is>
      </c>
      <c r="E12" s="11">
        <f>0.2</f>
        <v/>
      </c>
      <c r="G12" t="inlineStr">
        <is>
          <t>E1</t>
        </is>
      </c>
    </row>
    <row r="13">
      <c r="A13" s="6" t="inlineStr">
        <is>
          <t>Etsy transaction fee</t>
        </is>
      </c>
      <c r="E13" s="9">
        <f>0.065</f>
        <v/>
      </c>
      <c r="G13" t="inlineStr">
        <is>
          <t>E1</t>
        </is>
      </c>
    </row>
    <row r="14">
      <c r="A14" s="6" t="inlineStr">
        <is>
          <t>Etsy payment processing, percent</t>
        </is>
      </c>
      <c r="E14" s="9">
        <f>IFERROR(VLOOKUP(COUNTRY,'Sources'!$A$28:$I$56,2,FALSE),0)</f>
        <v/>
      </c>
      <c r="G14" t="inlineStr">
        <is>
          <t>E3</t>
        </is>
      </c>
    </row>
    <row r="15">
      <c r="A15" s="6" t="inlineStr">
        <is>
          <t>Etsy payment processing, fixed (in the currency shown on Sources)</t>
        </is>
      </c>
      <c r="E15" s="12">
        <f>IFERROR(VLOOKUP(COUNTRY,'Sources'!$A$28:$I$56,3,FALSE),0)</f>
        <v/>
      </c>
      <c r="G15" t="inlineStr">
        <is>
          <t>E3</t>
        </is>
      </c>
    </row>
    <row r="16">
      <c r="A16" s="6" t="inlineStr">
        <is>
          <t>Etsy regulatory operating fee</t>
        </is>
      </c>
      <c r="E16" s="9">
        <f>IFERROR(VLOOKUP(COUNTRY,'Sources'!$A$28:$I$56,5,FALSE),0)</f>
        <v/>
      </c>
      <c r="G16" t="inlineStr">
        <is>
          <t>E4</t>
        </is>
      </c>
    </row>
    <row r="17">
      <c r="A17" s="6" t="inlineStr">
        <is>
          <t>Etsy Offsite Ads cap per order (USD)</t>
        </is>
      </c>
      <c r="E17" s="11">
        <f>100.0</f>
        <v/>
      </c>
      <c r="G17" t="inlineStr">
        <is>
          <t>E2</t>
        </is>
      </c>
    </row>
    <row r="18">
      <c r="A18" s="6" t="inlineStr">
        <is>
          <t>Shopify Payments online card rate</t>
        </is>
      </c>
      <c r="E18" s="9">
        <f>IFERROR(INDEX('Sources'!$D$60:$D$71,MATCH(SHOP_TABLE&amp;"|"&amp;SHOP_PLAN,'Sources'!$A$60:$A$71,0)),0)</f>
        <v/>
      </c>
      <c r="G18" t="inlineStr">
        <is>
          <t>S1-S3</t>
        </is>
      </c>
    </row>
    <row r="19">
      <c r="A19" s="6" t="inlineStr">
        <is>
          <t>Shopify Payments international card rate</t>
        </is>
      </c>
      <c r="E19" s="9">
        <f>IFERROR(INDEX('Sources'!$E$60:$E$71,MATCH(SHOP_TABLE&amp;"|"&amp;SHOP_PLAN,'Sources'!$A$60:$A$71,0)),0)</f>
        <v/>
      </c>
      <c r="G19" t="inlineStr">
        <is>
          <t>S1-S3</t>
        </is>
      </c>
    </row>
    <row r="20">
      <c r="A20" s="6" t="inlineStr">
        <is>
          <t>Shopify Payments fixed fee</t>
        </is>
      </c>
      <c r="E20" s="12">
        <f>IFERROR(INDEX('Sources'!$F$60:$F$71,MATCH(SHOP_TABLE&amp;"|"&amp;SHOP_PLAN,'Sources'!$A$60:$A$71,0)),0)</f>
        <v/>
      </c>
      <c r="G20" t="inlineStr">
        <is>
          <t>S1-S3</t>
        </is>
      </c>
    </row>
    <row r="21">
      <c r="A21" s="10">
        <f>IF(SHOP_TABLE="Other","CHECK: no verified Shopify card rates for this country (UK, Ireland and US only). Shopify fees show as 0; the full version lets you type your rate.","")</f>
        <v/>
      </c>
      <c r="B21" s="13" t="n"/>
      <c r="C21" s="13" t="n"/>
      <c r="D21" s="13" t="n"/>
      <c r="E21" s="13" t="n"/>
      <c r="F21" s="13" t="n"/>
      <c r="G21" s="13" t="n"/>
      <c r="H21" s="13" t="n"/>
      <c r="I21" s="13" t="n"/>
      <c r="J21" s="13" t="n"/>
      <c r="K21" s="13" t="n"/>
      <c r="L21" s="14" t="n"/>
    </row>
    <row r="22">
      <c r="A22" s="10">
        <f>IF(AND(FX_IN="",COUNTRY&lt;&gt;"United States"),"CHECK: type today's USD rate in D8 (Etsy listing fee and Offsite Ads cap are in USD). Using 1.00 until then.","")</f>
        <v/>
      </c>
      <c r="B22" s="13" t="n"/>
      <c r="C22" s="13" t="n"/>
      <c r="D22" s="13" t="n"/>
      <c r="E22" s="13" t="n"/>
      <c r="F22" s="13" t="n"/>
      <c r="G22" s="13" t="n"/>
      <c r="H22" s="13" t="n"/>
      <c r="I22" s="13" t="n"/>
      <c r="J22" s="13" t="n"/>
      <c r="K22" s="13" t="n"/>
      <c r="L22" s="14" t="n"/>
    </row>
    <row r="23">
      <c r="A23" s="15" t="inlineStr">
        <is>
          <t>YOU TYPE OR PASTE (yellow)</t>
        </is>
      </c>
      <c r="M23" s="16" t="inlineStr">
        <is>
          <t>CALCULATED, LOCKED (grey): click a cell to see its formula</t>
        </is>
      </c>
    </row>
    <row r="24" ht="45" customHeight="1">
      <c r="A24" s="5" t="inlineStr">
        <is>
          <t>Date</t>
        </is>
      </c>
      <c r="B24" s="5" t="inlineStr">
        <is>
          <t>Order ID</t>
        </is>
      </c>
      <c r="C24" s="5" t="inlineStr">
        <is>
          <t>Platform (Etsy / Shopify)</t>
        </is>
      </c>
      <c r="D24" s="5" t="inlineStr">
        <is>
          <t>Item total (excl. tax)</t>
        </is>
      </c>
      <c r="E24" s="5" t="inlineStr">
        <is>
          <t>Shipping charged</t>
        </is>
      </c>
      <c r="F24" s="5" t="inlineStr">
        <is>
          <t>Discount</t>
        </is>
      </c>
      <c r="G24" s="5" t="inlineStr">
        <is>
          <t>Tax collected on top</t>
        </is>
      </c>
      <c r="H24" s="5" t="inlineStr">
        <is>
          <t>Offsite Ads sale? (Etsy)</t>
        </is>
      </c>
      <c r="I24" s="5" t="inlineStr">
        <is>
          <t>International card? (Shopify)</t>
        </is>
      </c>
      <c r="J24" s="5" t="inlineStr">
        <is>
          <t>Your postage cost</t>
        </is>
      </c>
      <c r="K24" s="5" t="inlineStr">
        <is>
          <t>Product cost (total)</t>
        </is>
      </c>
      <c r="L24" s="5" t="inlineStr">
        <is>
          <t>Refunded (excl. tax)</t>
        </is>
      </c>
      <c r="M24" s="5" t="inlineStr">
        <is>
          <t>Month</t>
        </is>
      </c>
      <c r="N24" s="5" t="inlineStr">
        <is>
          <t>Total paid by buyer</t>
        </is>
      </c>
      <c r="O24" s="5" t="inlineStr">
        <is>
          <t>Revenue excl. tax</t>
        </is>
      </c>
      <c r="P24" s="5" t="inlineStr">
        <is>
          <t>Platform fees (excl. Offsite Ads)</t>
        </is>
      </c>
      <c r="Q24" s="5" t="inlineStr">
        <is>
          <t>Offsite Ads fee</t>
        </is>
      </c>
      <c r="R24" s="5" t="inlineStr">
        <is>
          <t>VAT on fees</t>
        </is>
      </c>
      <c r="S24" s="5" t="inlineStr">
        <is>
          <t>Etsy fee credit on refund</t>
        </is>
      </c>
      <c r="T24" s="5" t="inlineStr">
        <is>
          <t>Net profit</t>
        </is>
      </c>
      <c r="U24" s="5" t="inlineStr">
        <is>
          <t>Margin</t>
        </is>
      </c>
    </row>
    <row r="25">
      <c r="A25" s="17" t="n"/>
      <c r="B25" s="7" t="n"/>
      <c r="C25" s="7" t="n"/>
      <c r="D25" s="18" t="n"/>
      <c r="E25" s="18" t="n"/>
      <c r="F25" s="18" t="n"/>
      <c r="G25" s="18" t="n"/>
      <c r="H25" s="7" t="n"/>
      <c r="I25" s="7" t="n"/>
      <c r="J25" s="18" t="n"/>
      <c r="K25" s="18" t="n"/>
      <c r="L25" s="18" t="n"/>
      <c r="M25" s="19">
        <f>IF($A25="","",DATE(YEAR($A25),MONTH($A25),1))</f>
        <v/>
      </c>
      <c r="N25" s="20">
        <f>IF($A25="",0,$D25+$E25-$F25+$G25)</f>
        <v/>
      </c>
      <c r="O25" s="20">
        <f>IF($A25="",0,$D25+$E25-$F25)</f>
        <v/>
      </c>
      <c r="P25" s="20">
        <f>IF($C25="Etsy",ETSY_LISTING_USD*FX_USD+(ETSY_TXN+ETSY_REG)*$O25+ETSY_PROC_PCT*$N25+ETSY_PROC_FIXED,IF($C25="Shopify",IF($I25="Yes",SHOP_INTL,SHOP_STD)*$N25+SHOP_CARD_FIXED,0))</f>
        <v/>
      </c>
      <c r="Q25" s="20">
        <f>IF(AND($C25="Etsy",$H25="Yes"),MIN(ETSY_OFFSITE*$O25,ETSY_OFFSITE_CAP_USD*FX_USD),0)</f>
        <v/>
      </c>
      <c r="R25" s="20">
        <f>($P25+$Q25)*VAT_FEES</f>
        <v/>
      </c>
      <c r="S25" s="20">
        <f>IF(AND($C25="Etsy",$L25&gt;0,$O25&gt;0),(ETSY_PROC_PCT*$N25+ETSY_PROC_FIXED)*MIN(1,$L25/$O25)*(1+VAT_FEES),0)</f>
        <v/>
      </c>
      <c r="T25" s="20">
        <f>$O25-$P25-$Q25-$R25-$J25-$K25-$L25+$S25</f>
        <v/>
      </c>
      <c r="U25" s="21">
        <f>IF($O25&gt;0,$T25/$O25,0)</f>
        <v/>
      </c>
    </row>
    <row r="26">
      <c r="A26" s="17" t="n"/>
      <c r="B26" s="7" t="n"/>
      <c r="C26" s="7" t="n"/>
      <c r="D26" s="18" t="n"/>
      <c r="E26" s="18" t="n"/>
      <c r="F26" s="18" t="n"/>
      <c r="G26" s="18" t="n"/>
      <c r="H26" s="7" t="n"/>
      <c r="I26" s="7" t="n"/>
      <c r="J26" s="18" t="n"/>
      <c r="K26" s="18" t="n"/>
      <c r="L26" s="18" t="n"/>
      <c r="M26" s="19">
        <f>IF($A26="","",DATE(YEAR($A26),MONTH($A26),1))</f>
        <v/>
      </c>
      <c r="N26" s="20">
        <f>IF($A26="",0,$D26+$E26-$F26+$G26)</f>
        <v/>
      </c>
      <c r="O26" s="20">
        <f>IF($A26="",0,$D26+$E26-$F26)</f>
        <v/>
      </c>
      <c r="P26" s="20">
        <f>IF($C26="Etsy",ETSY_LISTING_USD*FX_USD+(ETSY_TXN+ETSY_REG)*$O26+ETSY_PROC_PCT*$N26+ETSY_PROC_FIXED,IF($C26="Shopify",IF($I26="Yes",SHOP_INTL,SHOP_STD)*$N26+SHOP_CARD_FIXED,0))</f>
        <v/>
      </c>
      <c r="Q26" s="20">
        <f>IF(AND($C26="Etsy",$H26="Yes"),MIN(ETSY_OFFSITE*$O26,ETSY_OFFSITE_CAP_USD*FX_USD),0)</f>
        <v/>
      </c>
      <c r="R26" s="20">
        <f>($P26+$Q26)*VAT_FEES</f>
        <v/>
      </c>
      <c r="S26" s="20">
        <f>IF(AND($C26="Etsy",$L26&gt;0,$O26&gt;0),(ETSY_PROC_PCT*$N26+ETSY_PROC_FIXED)*MIN(1,$L26/$O26)*(1+VAT_FEES),0)</f>
        <v/>
      </c>
      <c r="T26" s="20">
        <f>$O26-$P26-$Q26-$R26-$J26-$K26-$L26+$S26</f>
        <v/>
      </c>
      <c r="U26" s="21">
        <f>IF($O26&gt;0,$T26/$O26,0)</f>
        <v/>
      </c>
    </row>
    <row r="27">
      <c r="A27" s="17" t="n"/>
      <c r="B27" s="7" t="n"/>
      <c r="C27" s="7" t="n"/>
      <c r="D27" s="18" t="n"/>
      <c r="E27" s="18" t="n"/>
      <c r="F27" s="18" t="n"/>
      <c r="G27" s="18" t="n"/>
      <c r="H27" s="7" t="n"/>
      <c r="I27" s="7" t="n"/>
      <c r="J27" s="18" t="n"/>
      <c r="K27" s="18" t="n"/>
      <c r="L27" s="18" t="n"/>
      <c r="M27" s="19">
        <f>IF($A27="","",DATE(YEAR($A27),MONTH($A27),1))</f>
        <v/>
      </c>
      <c r="N27" s="20">
        <f>IF($A27="",0,$D27+$E27-$F27+$G27)</f>
        <v/>
      </c>
      <c r="O27" s="20">
        <f>IF($A27="",0,$D27+$E27-$F27)</f>
        <v/>
      </c>
      <c r="P27" s="20">
        <f>IF($C27="Etsy",ETSY_LISTING_USD*FX_USD+(ETSY_TXN+ETSY_REG)*$O27+ETSY_PROC_PCT*$N27+ETSY_PROC_FIXED,IF($C27="Shopify",IF($I27="Yes",SHOP_INTL,SHOP_STD)*$N27+SHOP_CARD_FIXED,0))</f>
        <v/>
      </c>
      <c r="Q27" s="20">
        <f>IF(AND($C27="Etsy",$H27="Yes"),MIN(ETSY_OFFSITE*$O27,ETSY_OFFSITE_CAP_USD*FX_USD),0)</f>
        <v/>
      </c>
      <c r="R27" s="20">
        <f>($P27+$Q27)*VAT_FEES</f>
        <v/>
      </c>
      <c r="S27" s="20">
        <f>IF(AND($C27="Etsy",$L27&gt;0,$O27&gt;0),(ETSY_PROC_PCT*$N27+ETSY_PROC_FIXED)*MIN(1,$L27/$O27)*(1+VAT_FEES),0)</f>
        <v/>
      </c>
      <c r="T27" s="20">
        <f>$O27-$P27-$Q27-$R27-$J27-$K27-$L27+$S27</f>
        <v/>
      </c>
      <c r="U27" s="21">
        <f>IF($O27&gt;0,$T27/$O27,0)</f>
        <v/>
      </c>
    </row>
    <row r="28">
      <c r="A28" s="17" t="n"/>
      <c r="B28" s="7" t="n"/>
      <c r="C28" s="7" t="n"/>
      <c r="D28" s="18" t="n"/>
      <c r="E28" s="18" t="n"/>
      <c r="F28" s="18" t="n"/>
      <c r="G28" s="18" t="n"/>
      <c r="H28" s="7" t="n"/>
      <c r="I28" s="7" t="n"/>
      <c r="J28" s="18" t="n"/>
      <c r="K28" s="18" t="n"/>
      <c r="L28" s="18" t="n"/>
      <c r="M28" s="19">
        <f>IF($A28="","",DATE(YEAR($A28),MONTH($A28),1))</f>
        <v/>
      </c>
      <c r="N28" s="20">
        <f>IF($A28="",0,$D28+$E28-$F28+$G28)</f>
        <v/>
      </c>
      <c r="O28" s="20">
        <f>IF($A28="",0,$D28+$E28-$F28)</f>
        <v/>
      </c>
      <c r="P28" s="20">
        <f>IF($C28="Etsy",ETSY_LISTING_USD*FX_USD+(ETSY_TXN+ETSY_REG)*$O28+ETSY_PROC_PCT*$N28+ETSY_PROC_FIXED,IF($C28="Shopify",IF($I28="Yes",SHOP_INTL,SHOP_STD)*$N28+SHOP_CARD_FIXED,0))</f>
        <v/>
      </c>
      <c r="Q28" s="20">
        <f>IF(AND($C28="Etsy",$H28="Yes"),MIN(ETSY_OFFSITE*$O28,ETSY_OFFSITE_CAP_USD*FX_USD),0)</f>
        <v/>
      </c>
      <c r="R28" s="20">
        <f>($P28+$Q28)*VAT_FEES</f>
        <v/>
      </c>
      <c r="S28" s="20">
        <f>IF(AND($C28="Etsy",$L28&gt;0,$O28&gt;0),(ETSY_PROC_PCT*$N28+ETSY_PROC_FIXED)*MIN(1,$L28/$O28)*(1+VAT_FEES),0)</f>
        <v/>
      </c>
      <c r="T28" s="20">
        <f>$O28-$P28-$Q28-$R28-$J28-$K28-$L28+$S28</f>
        <v/>
      </c>
      <c r="U28" s="21">
        <f>IF($O28&gt;0,$T28/$O28,0)</f>
        <v/>
      </c>
    </row>
    <row r="29">
      <c r="A29" s="17" t="n"/>
      <c r="B29" s="7" t="n"/>
      <c r="C29" s="7" t="n"/>
      <c r="D29" s="18" t="n"/>
      <c r="E29" s="18" t="n"/>
      <c r="F29" s="18" t="n"/>
      <c r="G29" s="18" t="n"/>
      <c r="H29" s="7" t="n"/>
      <c r="I29" s="7" t="n"/>
      <c r="J29" s="18" t="n"/>
      <c r="K29" s="18" t="n"/>
      <c r="L29" s="18" t="n"/>
      <c r="M29" s="19">
        <f>IF($A29="","",DATE(YEAR($A29),MONTH($A29),1))</f>
        <v/>
      </c>
      <c r="N29" s="20">
        <f>IF($A29="",0,$D29+$E29-$F29+$G29)</f>
        <v/>
      </c>
      <c r="O29" s="20">
        <f>IF($A29="",0,$D29+$E29-$F29)</f>
        <v/>
      </c>
      <c r="P29" s="20">
        <f>IF($C29="Etsy",ETSY_LISTING_USD*FX_USD+(ETSY_TXN+ETSY_REG)*$O29+ETSY_PROC_PCT*$N29+ETSY_PROC_FIXED,IF($C29="Shopify",IF($I29="Yes",SHOP_INTL,SHOP_STD)*$N29+SHOP_CARD_FIXED,0))</f>
        <v/>
      </c>
      <c r="Q29" s="20">
        <f>IF(AND($C29="Etsy",$H29="Yes"),MIN(ETSY_OFFSITE*$O29,ETSY_OFFSITE_CAP_USD*FX_USD),0)</f>
        <v/>
      </c>
      <c r="R29" s="20">
        <f>($P29+$Q29)*VAT_FEES</f>
        <v/>
      </c>
      <c r="S29" s="20">
        <f>IF(AND($C29="Etsy",$L29&gt;0,$O29&gt;0),(ETSY_PROC_PCT*$N29+ETSY_PROC_FIXED)*MIN(1,$L29/$O29)*(1+VAT_FEES),0)</f>
        <v/>
      </c>
      <c r="T29" s="20">
        <f>$O29-$P29-$Q29-$R29-$J29-$K29-$L29+$S29</f>
        <v/>
      </c>
      <c r="U29" s="21">
        <f>IF($O29&gt;0,$T29/$O29,0)</f>
        <v/>
      </c>
    </row>
    <row r="30">
      <c r="A30" s="17" t="n"/>
      <c r="B30" s="7" t="n"/>
      <c r="C30" s="7" t="n"/>
      <c r="D30" s="18" t="n"/>
      <c r="E30" s="18" t="n"/>
      <c r="F30" s="18" t="n"/>
      <c r="G30" s="18" t="n"/>
      <c r="H30" s="7" t="n"/>
      <c r="I30" s="7" t="n"/>
      <c r="J30" s="18" t="n"/>
      <c r="K30" s="18" t="n"/>
      <c r="L30" s="18" t="n"/>
      <c r="M30" s="19">
        <f>IF($A30="","",DATE(YEAR($A30),MONTH($A30),1))</f>
        <v/>
      </c>
      <c r="N30" s="20">
        <f>IF($A30="",0,$D30+$E30-$F30+$G30)</f>
        <v/>
      </c>
      <c r="O30" s="20">
        <f>IF($A30="",0,$D30+$E30-$F30)</f>
        <v/>
      </c>
      <c r="P30" s="20">
        <f>IF($C30="Etsy",ETSY_LISTING_USD*FX_USD+(ETSY_TXN+ETSY_REG)*$O30+ETSY_PROC_PCT*$N30+ETSY_PROC_FIXED,IF($C30="Shopify",IF($I30="Yes",SHOP_INTL,SHOP_STD)*$N30+SHOP_CARD_FIXED,0))</f>
        <v/>
      </c>
      <c r="Q30" s="20">
        <f>IF(AND($C30="Etsy",$H30="Yes"),MIN(ETSY_OFFSITE*$O30,ETSY_OFFSITE_CAP_USD*FX_USD),0)</f>
        <v/>
      </c>
      <c r="R30" s="20">
        <f>($P30+$Q30)*VAT_FEES</f>
        <v/>
      </c>
      <c r="S30" s="20">
        <f>IF(AND($C30="Etsy",$L30&gt;0,$O30&gt;0),(ETSY_PROC_PCT*$N30+ETSY_PROC_FIXED)*MIN(1,$L30/$O30)*(1+VAT_FEES),0)</f>
        <v/>
      </c>
      <c r="T30" s="20">
        <f>$O30-$P30-$Q30-$R30-$J30-$K30-$L30+$S30</f>
        <v/>
      </c>
      <c r="U30" s="21">
        <f>IF($O30&gt;0,$T30/$O30,0)</f>
        <v/>
      </c>
    </row>
    <row r="31">
      <c r="A31" s="17" t="n"/>
      <c r="B31" s="7" t="n"/>
      <c r="C31" s="7" t="n"/>
      <c r="D31" s="18" t="n"/>
      <c r="E31" s="18" t="n"/>
      <c r="F31" s="18" t="n"/>
      <c r="G31" s="18" t="n"/>
      <c r="H31" s="7" t="n"/>
      <c r="I31" s="7" t="n"/>
      <c r="J31" s="18" t="n"/>
      <c r="K31" s="18" t="n"/>
      <c r="L31" s="18" t="n"/>
      <c r="M31" s="19">
        <f>IF($A31="","",DATE(YEAR($A31),MONTH($A31),1))</f>
        <v/>
      </c>
      <c r="N31" s="20">
        <f>IF($A31="",0,$D31+$E31-$F31+$G31)</f>
        <v/>
      </c>
      <c r="O31" s="20">
        <f>IF($A31="",0,$D31+$E31-$F31)</f>
        <v/>
      </c>
      <c r="P31" s="20">
        <f>IF($C31="Etsy",ETSY_LISTING_USD*FX_USD+(ETSY_TXN+ETSY_REG)*$O31+ETSY_PROC_PCT*$N31+ETSY_PROC_FIXED,IF($C31="Shopify",IF($I31="Yes",SHOP_INTL,SHOP_STD)*$N31+SHOP_CARD_FIXED,0))</f>
        <v/>
      </c>
      <c r="Q31" s="20">
        <f>IF(AND($C31="Etsy",$H31="Yes"),MIN(ETSY_OFFSITE*$O31,ETSY_OFFSITE_CAP_USD*FX_USD),0)</f>
        <v/>
      </c>
      <c r="R31" s="20">
        <f>($P31+$Q31)*VAT_FEES</f>
        <v/>
      </c>
      <c r="S31" s="20">
        <f>IF(AND($C31="Etsy",$L31&gt;0,$O31&gt;0),(ETSY_PROC_PCT*$N31+ETSY_PROC_FIXED)*MIN(1,$L31/$O31)*(1+VAT_FEES),0)</f>
        <v/>
      </c>
      <c r="T31" s="20">
        <f>$O31-$P31-$Q31-$R31-$J31-$K31-$L31+$S31</f>
        <v/>
      </c>
      <c r="U31" s="21">
        <f>IF($O31&gt;0,$T31/$O31,0)</f>
        <v/>
      </c>
    </row>
    <row r="32">
      <c r="A32" s="17" t="n"/>
      <c r="B32" s="7" t="n"/>
      <c r="C32" s="7" t="n"/>
      <c r="D32" s="18" t="n"/>
      <c r="E32" s="18" t="n"/>
      <c r="F32" s="18" t="n"/>
      <c r="G32" s="18" t="n"/>
      <c r="H32" s="7" t="n"/>
      <c r="I32" s="7" t="n"/>
      <c r="J32" s="18" t="n"/>
      <c r="K32" s="18" t="n"/>
      <c r="L32" s="18" t="n"/>
      <c r="M32" s="19">
        <f>IF($A32="","",DATE(YEAR($A32),MONTH($A32),1))</f>
        <v/>
      </c>
      <c r="N32" s="20">
        <f>IF($A32="",0,$D32+$E32-$F32+$G32)</f>
        <v/>
      </c>
      <c r="O32" s="20">
        <f>IF($A32="",0,$D32+$E32-$F32)</f>
        <v/>
      </c>
      <c r="P32" s="20">
        <f>IF($C32="Etsy",ETSY_LISTING_USD*FX_USD+(ETSY_TXN+ETSY_REG)*$O32+ETSY_PROC_PCT*$N32+ETSY_PROC_FIXED,IF($C32="Shopify",IF($I32="Yes",SHOP_INTL,SHOP_STD)*$N32+SHOP_CARD_FIXED,0))</f>
        <v/>
      </c>
      <c r="Q32" s="20">
        <f>IF(AND($C32="Etsy",$H32="Yes"),MIN(ETSY_OFFSITE*$O32,ETSY_OFFSITE_CAP_USD*FX_USD),0)</f>
        <v/>
      </c>
      <c r="R32" s="20">
        <f>($P32+$Q32)*VAT_FEES</f>
        <v/>
      </c>
      <c r="S32" s="20">
        <f>IF(AND($C32="Etsy",$L32&gt;0,$O32&gt;0),(ETSY_PROC_PCT*$N32+ETSY_PROC_FIXED)*MIN(1,$L32/$O32)*(1+VAT_FEES),0)</f>
        <v/>
      </c>
      <c r="T32" s="20">
        <f>$O32-$P32-$Q32-$R32-$J32-$K32-$L32+$S32</f>
        <v/>
      </c>
      <c r="U32" s="21">
        <f>IF($O32&gt;0,$T32/$O32,0)</f>
        <v/>
      </c>
    </row>
    <row r="33">
      <c r="A33" s="17" t="n"/>
      <c r="B33" s="7" t="n"/>
      <c r="C33" s="7" t="n"/>
      <c r="D33" s="18" t="n"/>
      <c r="E33" s="18" t="n"/>
      <c r="F33" s="18" t="n"/>
      <c r="G33" s="18" t="n"/>
      <c r="H33" s="7" t="n"/>
      <c r="I33" s="7" t="n"/>
      <c r="J33" s="18" t="n"/>
      <c r="K33" s="18" t="n"/>
      <c r="L33" s="18" t="n"/>
      <c r="M33" s="19">
        <f>IF($A33="","",DATE(YEAR($A33),MONTH($A33),1))</f>
        <v/>
      </c>
      <c r="N33" s="20">
        <f>IF($A33="",0,$D33+$E33-$F33+$G33)</f>
        <v/>
      </c>
      <c r="O33" s="20">
        <f>IF($A33="",0,$D33+$E33-$F33)</f>
        <v/>
      </c>
      <c r="P33" s="20">
        <f>IF($C33="Etsy",ETSY_LISTING_USD*FX_USD+(ETSY_TXN+ETSY_REG)*$O33+ETSY_PROC_PCT*$N33+ETSY_PROC_FIXED,IF($C33="Shopify",IF($I33="Yes",SHOP_INTL,SHOP_STD)*$N33+SHOP_CARD_FIXED,0))</f>
        <v/>
      </c>
      <c r="Q33" s="20">
        <f>IF(AND($C33="Etsy",$H33="Yes"),MIN(ETSY_OFFSITE*$O33,ETSY_OFFSITE_CAP_USD*FX_USD),0)</f>
        <v/>
      </c>
      <c r="R33" s="20">
        <f>($P33+$Q33)*VAT_FEES</f>
        <v/>
      </c>
      <c r="S33" s="20">
        <f>IF(AND($C33="Etsy",$L33&gt;0,$O33&gt;0),(ETSY_PROC_PCT*$N33+ETSY_PROC_FIXED)*MIN(1,$L33/$O33)*(1+VAT_FEES),0)</f>
        <v/>
      </c>
      <c r="T33" s="20">
        <f>$O33-$P33-$Q33-$R33-$J33-$K33-$L33+$S33</f>
        <v/>
      </c>
      <c r="U33" s="21">
        <f>IF($O33&gt;0,$T33/$O33,0)</f>
        <v/>
      </c>
    </row>
    <row r="34">
      <c r="A34" s="17" t="n"/>
      <c r="B34" s="7" t="n"/>
      <c r="C34" s="7" t="n"/>
      <c r="D34" s="18" t="n"/>
      <c r="E34" s="18" t="n"/>
      <c r="F34" s="18" t="n"/>
      <c r="G34" s="18" t="n"/>
      <c r="H34" s="7" t="n"/>
      <c r="I34" s="7" t="n"/>
      <c r="J34" s="18" t="n"/>
      <c r="K34" s="18" t="n"/>
      <c r="L34" s="18" t="n"/>
      <c r="M34" s="19">
        <f>IF($A34="","",DATE(YEAR($A34),MONTH($A34),1))</f>
        <v/>
      </c>
      <c r="N34" s="20">
        <f>IF($A34="",0,$D34+$E34-$F34+$G34)</f>
        <v/>
      </c>
      <c r="O34" s="20">
        <f>IF($A34="",0,$D34+$E34-$F34)</f>
        <v/>
      </c>
      <c r="P34" s="20">
        <f>IF($C34="Etsy",ETSY_LISTING_USD*FX_USD+(ETSY_TXN+ETSY_REG)*$O34+ETSY_PROC_PCT*$N34+ETSY_PROC_FIXED,IF($C34="Shopify",IF($I34="Yes",SHOP_INTL,SHOP_STD)*$N34+SHOP_CARD_FIXED,0))</f>
        <v/>
      </c>
      <c r="Q34" s="20">
        <f>IF(AND($C34="Etsy",$H34="Yes"),MIN(ETSY_OFFSITE*$O34,ETSY_OFFSITE_CAP_USD*FX_USD),0)</f>
        <v/>
      </c>
      <c r="R34" s="20">
        <f>($P34+$Q34)*VAT_FEES</f>
        <v/>
      </c>
      <c r="S34" s="20">
        <f>IF(AND($C34="Etsy",$L34&gt;0,$O34&gt;0),(ETSY_PROC_PCT*$N34+ETSY_PROC_FIXED)*MIN(1,$L34/$O34)*(1+VAT_FEES),0)</f>
        <v/>
      </c>
      <c r="T34" s="20">
        <f>$O34-$P34-$Q34-$R34-$J34-$K34-$L34+$S34</f>
        <v/>
      </c>
      <c r="U34" s="21">
        <f>IF($O34&gt;0,$T34/$O34,0)</f>
        <v/>
      </c>
    </row>
    <row r="35">
      <c r="A35" s="17" t="n"/>
      <c r="B35" s="7" t="n"/>
      <c r="C35" s="7" t="n"/>
      <c r="D35" s="18" t="n"/>
      <c r="E35" s="18" t="n"/>
      <c r="F35" s="18" t="n"/>
      <c r="G35" s="18" t="n"/>
      <c r="H35" s="7" t="n"/>
      <c r="I35" s="7" t="n"/>
      <c r="J35" s="18" t="n"/>
      <c r="K35" s="18" t="n"/>
      <c r="L35" s="18" t="n"/>
      <c r="M35" s="19">
        <f>IF($A35="","",DATE(YEAR($A35),MONTH($A35),1))</f>
        <v/>
      </c>
      <c r="N35" s="20">
        <f>IF($A35="",0,$D35+$E35-$F35+$G35)</f>
        <v/>
      </c>
      <c r="O35" s="20">
        <f>IF($A35="",0,$D35+$E35-$F35)</f>
        <v/>
      </c>
      <c r="P35" s="20">
        <f>IF($C35="Etsy",ETSY_LISTING_USD*FX_USD+(ETSY_TXN+ETSY_REG)*$O35+ETSY_PROC_PCT*$N35+ETSY_PROC_FIXED,IF($C35="Shopify",IF($I35="Yes",SHOP_INTL,SHOP_STD)*$N35+SHOP_CARD_FIXED,0))</f>
        <v/>
      </c>
      <c r="Q35" s="20">
        <f>IF(AND($C35="Etsy",$H35="Yes"),MIN(ETSY_OFFSITE*$O35,ETSY_OFFSITE_CAP_USD*FX_USD),0)</f>
        <v/>
      </c>
      <c r="R35" s="20">
        <f>($P35+$Q35)*VAT_FEES</f>
        <v/>
      </c>
      <c r="S35" s="20">
        <f>IF(AND($C35="Etsy",$L35&gt;0,$O35&gt;0),(ETSY_PROC_PCT*$N35+ETSY_PROC_FIXED)*MIN(1,$L35/$O35)*(1+VAT_FEES),0)</f>
        <v/>
      </c>
      <c r="T35" s="20">
        <f>$O35-$P35-$Q35-$R35-$J35-$K35-$L35+$S35</f>
        <v/>
      </c>
      <c r="U35" s="21">
        <f>IF($O35&gt;0,$T35/$O35,0)</f>
        <v/>
      </c>
    </row>
    <row r="36">
      <c r="A36" s="17" t="n"/>
      <c r="B36" s="7" t="n"/>
      <c r="C36" s="7" t="n"/>
      <c r="D36" s="18" t="n"/>
      <c r="E36" s="18" t="n"/>
      <c r="F36" s="18" t="n"/>
      <c r="G36" s="18" t="n"/>
      <c r="H36" s="7" t="n"/>
      <c r="I36" s="7" t="n"/>
      <c r="J36" s="18" t="n"/>
      <c r="K36" s="18" t="n"/>
      <c r="L36" s="18" t="n"/>
      <c r="M36" s="19">
        <f>IF($A36="","",DATE(YEAR($A36),MONTH($A36),1))</f>
        <v/>
      </c>
      <c r="N36" s="20">
        <f>IF($A36="",0,$D36+$E36-$F36+$G36)</f>
        <v/>
      </c>
      <c r="O36" s="20">
        <f>IF($A36="",0,$D36+$E36-$F36)</f>
        <v/>
      </c>
      <c r="P36" s="20">
        <f>IF($C36="Etsy",ETSY_LISTING_USD*FX_USD+(ETSY_TXN+ETSY_REG)*$O36+ETSY_PROC_PCT*$N36+ETSY_PROC_FIXED,IF($C36="Shopify",IF($I36="Yes",SHOP_INTL,SHOP_STD)*$N36+SHOP_CARD_FIXED,0))</f>
        <v/>
      </c>
      <c r="Q36" s="20">
        <f>IF(AND($C36="Etsy",$H36="Yes"),MIN(ETSY_OFFSITE*$O36,ETSY_OFFSITE_CAP_USD*FX_USD),0)</f>
        <v/>
      </c>
      <c r="R36" s="20">
        <f>($P36+$Q36)*VAT_FEES</f>
        <v/>
      </c>
      <c r="S36" s="20">
        <f>IF(AND($C36="Etsy",$L36&gt;0,$O36&gt;0),(ETSY_PROC_PCT*$N36+ETSY_PROC_FIXED)*MIN(1,$L36/$O36)*(1+VAT_FEES),0)</f>
        <v/>
      </c>
      <c r="T36" s="20">
        <f>$O36-$P36-$Q36-$R36-$J36-$K36-$L36+$S36</f>
        <v/>
      </c>
      <c r="U36" s="21">
        <f>IF($O36&gt;0,$T36/$O36,0)</f>
        <v/>
      </c>
    </row>
    <row r="37">
      <c r="A37" s="17" t="n"/>
      <c r="B37" s="7" t="n"/>
      <c r="C37" s="7" t="n"/>
      <c r="D37" s="18" t="n"/>
      <c r="E37" s="18" t="n"/>
      <c r="F37" s="18" t="n"/>
      <c r="G37" s="18" t="n"/>
      <c r="H37" s="7" t="n"/>
      <c r="I37" s="7" t="n"/>
      <c r="J37" s="18" t="n"/>
      <c r="K37" s="18" t="n"/>
      <c r="L37" s="18" t="n"/>
      <c r="M37" s="19">
        <f>IF($A37="","",DATE(YEAR($A37),MONTH($A37),1))</f>
        <v/>
      </c>
      <c r="N37" s="20">
        <f>IF($A37="",0,$D37+$E37-$F37+$G37)</f>
        <v/>
      </c>
      <c r="O37" s="20">
        <f>IF($A37="",0,$D37+$E37-$F37)</f>
        <v/>
      </c>
      <c r="P37" s="20">
        <f>IF($C37="Etsy",ETSY_LISTING_USD*FX_USD+(ETSY_TXN+ETSY_REG)*$O37+ETSY_PROC_PCT*$N37+ETSY_PROC_FIXED,IF($C37="Shopify",IF($I37="Yes",SHOP_INTL,SHOP_STD)*$N37+SHOP_CARD_FIXED,0))</f>
        <v/>
      </c>
      <c r="Q37" s="20">
        <f>IF(AND($C37="Etsy",$H37="Yes"),MIN(ETSY_OFFSITE*$O37,ETSY_OFFSITE_CAP_USD*FX_USD),0)</f>
        <v/>
      </c>
      <c r="R37" s="20">
        <f>($P37+$Q37)*VAT_FEES</f>
        <v/>
      </c>
      <c r="S37" s="20">
        <f>IF(AND($C37="Etsy",$L37&gt;0,$O37&gt;0),(ETSY_PROC_PCT*$N37+ETSY_PROC_FIXED)*MIN(1,$L37/$O37)*(1+VAT_FEES),0)</f>
        <v/>
      </c>
      <c r="T37" s="20">
        <f>$O37-$P37-$Q37-$R37-$J37-$K37-$L37+$S37</f>
        <v/>
      </c>
      <c r="U37" s="21">
        <f>IF($O37&gt;0,$T37/$O37,0)</f>
        <v/>
      </c>
    </row>
    <row r="38">
      <c r="A38" s="17" t="n"/>
      <c r="B38" s="7" t="n"/>
      <c r="C38" s="7" t="n"/>
      <c r="D38" s="18" t="n"/>
      <c r="E38" s="18" t="n"/>
      <c r="F38" s="18" t="n"/>
      <c r="G38" s="18" t="n"/>
      <c r="H38" s="7" t="n"/>
      <c r="I38" s="7" t="n"/>
      <c r="J38" s="18" t="n"/>
      <c r="K38" s="18" t="n"/>
      <c r="L38" s="18" t="n"/>
      <c r="M38" s="19">
        <f>IF($A38="","",DATE(YEAR($A38),MONTH($A38),1))</f>
        <v/>
      </c>
      <c r="N38" s="20">
        <f>IF($A38="",0,$D38+$E38-$F38+$G38)</f>
        <v/>
      </c>
      <c r="O38" s="20">
        <f>IF($A38="",0,$D38+$E38-$F38)</f>
        <v/>
      </c>
      <c r="P38" s="20">
        <f>IF($C38="Etsy",ETSY_LISTING_USD*FX_USD+(ETSY_TXN+ETSY_REG)*$O38+ETSY_PROC_PCT*$N38+ETSY_PROC_FIXED,IF($C38="Shopify",IF($I38="Yes",SHOP_INTL,SHOP_STD)*$N38+SHOP_CARD_FIXED,0))</f>
        <v/>
      </c>
      <c r="Q38" s="20">
        <f>IF(AND($C38="Etsy",$H38="Yes"),MIN(ETSY_OFFSITE*$O38,ETSY_OFFSITE_CAP_USD*FX_USD),0)</f>
        <v/>
      </c>
      <c r="R38" s="20">
        <f>($P38+$Q38)*VAT_FEES</f>
        <v/>
      </c>
      <c r="S38" s="20">
        <f>IF(AND($C38="Etsy",$L38&gt;0,$O38&gt;0),(ETSY_PROC_PCT*$N38+ETSY_PROC_FIXED)*MIN(1,$L38/$O38)*(1+VAT_FEES),0)</f>
        <v/>
      </c>
      <c r="T38" s="20">
        <f>$O38-$P38-$Q38-$R38-$J38-$K38-$L38+$S38</f>
        <v/>
      </c>
      <c r="U38" s="21">
        <f>IF($O38&gt;0,$T38/$O38,0)</f>
        <v/>
      </c>
    </row>
    <row r="39">
      <c r="A39" s="17" t="n"/>
      <c r="B39" s="7" t="n"/>
      <c r="C39" s="7" t="n"/>
      <c r="D39" s="18" t="n"/>
      <c r="E39" s="18" t="n"/>
      <c r="F39" s="18" t="n"/>
      <c r="G39" s="18" t="n"/>
      <c r="H39" s="7" t="n"/>
      <c r="I39" s="7" t="n"/>
      <c r="J39" s="18" t="n"/>
      <c r="K39" s="18" t="n"/>
      <c r="L39" s="18" t="n"/>
      <c r="M39" s="19">
        <f>IF($A39="","",DATE(YEAR($A39),MONTH($A39),1))</f>
        <v/>
      </c>
      <c r="N39" s="20">
        <f>IF($A39="",0,$D39+$E39-$F39+$G39)</f>
        <v/>
      </c>
      <c r="O39" s="20">
        <f>IF($A39="",0,$D39+$E39-$F39)</f>
        <v/>
      </c>
      <c r="P39" s="20">
        <f>IF($C39="Etsy",ETSY_LISTING_USD*FX_USD+(ETSY_TXN+ETSY_REG)*$O39+ETSY_PROC_PCT*$N39+ETSY_PROC_FIXED,IF($C39="Shopify",IF($I39="Yes",SHOP_INTL,SHOP_STD)*$N39+SHOP_CARD_FIXED,0))</f>
        <v/>
      </c>
      <c r="Q39" s="20">
        <f>IF(AND($C39="Etsy",$H39="Yes"),MIN(ETSY_OFFSITE*$O39,ETSY_OFFSITE_CAP_USD*FX_USD),0)</f>
        <v/>
      </c>
      <c r="R39" s="20">
        <f>($P39+$Q39)*VAT_FEES</f>
        <v/>
      </c>
      <c r="S39" s="20">
        <f>IF(AND($C39="Etsy",$L39&gt;0,$O39&gt;0),(ETSY_PROC_PCT*$N39+ETSY_PROC_FIXED)*MIN(1,$L39/$O39)*(1+VAT_FEES),0)</f>
        <v/>
      </c>
      <c r="T39" s="20">
        <f>$O39-$P39-$Q39-$R39-$J39-$K39-$L39+$S39</f>
        <v/>
      </c>
      <c r="U39" s="21">
        <f>IF($O39&gt;0,$T39/$O39,0)</f>
        <v/>
      </c>
    </row>
    <row r="40">
      <c r="A40" s="17" t="n"/>
      <c r="B40" s="7" t="n"/>
      <c r="C40" s="7" t="n"/>
      <c r="D40" s="18" t="n"/>
      <c r="E40" s="18" t="n"/>
      <c r="F40" s="18" t="n"/>
      <c r="G40" s="18" t="n"/>
      <c r="H40" s="7" t="n"/>
      <c r="I40" s="7" t="n"/>
      <c r="J40" s="18" t="n"/>
      <c r="K40" s="18" t="n"/>
      <c r="L40" s="18" t="n"/>
      <c r="M40" s="19">
        <f>IF($A40="","",DATE(YEAR($A40),MONTH($A40),1))</f>
        <v/>
      </c>
      <c r="N40" s="20">
        <f>IF($A40="",0,$D40+$E40-$F40+$G40)</f>
        <v/>
      </c>
      <c r="O40" s="20">
        <f>IF($A40="",0,$D40+$E40-$F40)</f>
        <v/>
      </c>
      <c r="P40" s="20">
        <f>IF($C40="Etsy",ETSY_LISTING_USD*FX_USD+(ETSY_TXN+ETSY_REG)*$O40+ETSY_PROC_PCT*$N40+ETSY_PROC_FIXED,IF($C40="Shopify",IF($I40="Yes",SHOP_INTL,SHOP_STD)*$N40+SHOP_CARD_FIXED,0))</f>
        <v/>
      </c>
      <c r="Q40" s="20">
        <f>IF(AND($C40="Etsy",$H40="Yes"),MIN(ETSY_OFFSITE*$O40,ETSY_OFFSITE_CAP_USD*FX_USD),0)</f>
        <v/>
      </c>
      <c r="R40" s="20">
        <f>($P40+$Q40)*VAT_FEES</f>
        <v/>
      </c>
      <c r="S40" s="20">
        <f>IF(AND($C40="Etsy",$L40&gt;0,$O40&gt;0),(ETSY_PROC_PCT*$N40+ETSY_PROC_FIXED)*MIN(1,$L40/$O40)*(1+VAT_FEES),0)</f>
        <v/>
      </c>
      <c r="T40" s="20">
        <f>$O40-$P40-$Q40-$R40-$J40-$K40-$L40+$S40</f>
        <v/>
      </c>
      <c r="U40" s="21">
        <f>IF($O40&gt;0,$T40/$O40,0)</f>
        <v/>
      </c>
    </row>
    <row r="41">
      <c r="A41" s="17" t="n"/>
      <c r="B41" s="7" t="n"/>
      <c r="C41" s="7" t="n"/>
      <c r="D41" s="18" t="n"/>
      <c r="E41" s="18" t="n"/>
      <c r="F41" s="18" t="n"/>
      <c r="G41" s="18" t="n"/>
      <c r="H41" s="7" t="n"/>
      <c r="I41" s="7" t="n"/>
      <c r="J41" s="18" t="n"/>
      <c r="K41" s="18" t="n"/>
      <c r="L41" s="18" t="n"/>
      <c r="M41" s="19">
        <f>IF($A41="","",DATE(YEAR($A41),MONTH($A41),1))</f>
        <v/>
      </c>
      <c r="N41" s="20">
        <f>IF($A41="",0,$D41+$E41-$F41+$G41)</f>
        <v/>
      </c>
      <c r="O41" s="20">
        <f>IF($A41="",0,$D41+$E41-$F41)</f>
        <v/>
      </c>
      <c r="P41" s="20">
        <f>IF($C41="Etsy",ETSY_LISTING_USD*FX_USD+(ETSY_TXN+ETSY_REG)*$O41+ETSY_PROC_PCT*$N41+ETSY_PROC_FIXED,IF($C41="Shopify",IF($I41="Yes",SHOP_INTL,SHOP_STD)*$N41+SHOP_CARD_FIXED,0))</f>
        <v/>
      </c>
      <c r="Q41" s="20">
        <f>IF(AND($C41="Etsy",$H41="Yes"),MIN(ETSY_OFFSITE*$O41,ETSY_OFFSITE_CAP_USD*FX_USD),0)</f>
        <v/>
      </c>
      <c r="R41" s="20">
        <f>($P41+$Q41)*VAT_FEES</f>
        <v/>
      </c>
      <c r="S41" s="20">
        <f>IF(AND($C41="Etsy",$L41&gt;0,$O41&gt;0),(ETSY_PROC_PCT*$N41+ETSY_PROC_FIXED)*MIN(1,$L41/$O41)*(1+VAT_FEES),0)</f>
        <v/>
      </c>
      <c r="T41" s="20">
        <f>$O41-$P41-$Q41-$R41-$J41-$K41-$L41+$S41</f>
        <v/>
      </c>
      <c r="U41" s="21">
        <f>IF($O41&gt;0,$T41/$O41,0)</f>
        <v/>
      </c>
    </row>
    <row r="42">
      <c r="A42" s="17" t="n"/>
      <c r="B42" s="7" t="n"/>
      <c r="C42" s="7" t="n"/>
      <c r="D42" s="18" t="n"/>
      <c r="E42" s="18" t="n"/>
      <c r="F42" s="18" t="n"/>
      <c r="G42" s="18" t="n"/>
      <c r="H42" s="7" t="n"/>
      <c r="I42" s="7" t="n"/>
      <c r="J42" s="18" t="n"/>
      <c r="K42" s="18" t="n"/>
      <c r="L42" s="18" t="n"/>
      <c r="M42" s="19">
        <f>IF($A42="","",DATE(YEAR($A42),MONTH($A42),1))</f>
        <v/>
      </c>
      <c r="N42" s="20">
        <f>IF($A42="",0,$D42+$E42-$F42+$G42)</f>
        <v/>
      </c>
      <c r="O42" s="20">
        <f>IF($A42="",0,$D42+$E42-$F42)</f>
        <v/>
      </c>
      <c r="P42" s="20">
        <f>IF($C42="Etsy",ETSY_LISTING_USD*FX_USD+(ETSY_TXN+ETSY_REG)*$O42+ETSY_PROC_PCT*$N42+ETSY_PROC_FIXED,IF($C42="Shopify",IF($I42="Yes",SHOP_INTL,SHOP_STD)*$N42+SHOP_CARD_FIXED,0))</f>
        <v/>
      </c>
      <c r="Q42" s="20">
        <f>IF(AND($C42="Etsy",$H42="Yes"),MIN(ETSY_OFFSITE*$O42,ETSY_OFFSITE_CAP_USD*FX_USD),0)</f>
        <v/>
      </c>
      <c r="R42" s="20">
        <f>($P42+$Q42)*VAT_FEES</f>
        <v/>
      </c>
      <c r="S42" s="20">
        <f>IF(AND($C42="Etsy",$L42&gt;0,$O42&gt;0),(ETSY_PROC_PCT*$N42+ETSY_PROC_FIXED)*MIN(1,$L42/$O42)*(1+VAT_FEES),0)</f>
        <v/>
      </c>
      <c r="T42" s="20">
        <f>$O42-$P42-$Q42-$R42-$J42-$K42-$L42+$S42</f>
        <v/>
      </c>
      <c r="U42" s="21">
        <f>IF($O42&gt;0,$T42/$O42,0)</f>
        <v/>
      </c>
    </row>
    <row r="43">
      <c r="A43" s="17" t="n"/>
      <c r="B43" s="7" t="n"/>
      <c r="C43" s="7" t="n"/>
      <c r="D43" s="18" t="n"/>
      <c r="E43" s="18" t="n"/>
      <c r="F43" s="18" t="n"/>
      <c r="G43" s="18" t="n"/>
      <c r="H43" s="7" t="n"/>
      <c r="I43" s="7" t="n"/>
      <c r="J43" s="18" t="n"/>
      <c r="K43" s="18" t="n"/>
      <c r="L43" s="18" t="n"/>
      <c r="M43" s="19">
        <f>IF($A43="","",DATE(YEAR($A43),MONTH($A43),1))</f>
        <v/>
      </c>
      <c r="N43" s="20">
        <f>IF($A43="",0,$D43+$E43-$F43+$G43)</f>
        <v/>
      </c>
      <c r="O43" s="20">
        <f>IF($A43="",0,$D43+$E43-$F43)</f>
        <v/>
      </c>
      <c r="P43" s="20">
        <f>IF($C43="Etsy",ETSY_LISTING_USD*FX_USD+(ETSY_TXN+ETSY_REG)*$O43+ETSY_PROC_PCT*$N43+ETSY_PROC_FIXED,IF($C43="Shopify",IF($I43="Yes",SHOP_INTL,SHOP_STD)*$N43+SHOP_CARD_FIXED,0))</f>
        <v/>
      </c>
      <c r="Q43" s="20">
        <f>IF(AND($C43="Etsy",$H43="Yes"),MIN(ETSY_OFFSITE*$O43,ETSY_OFFSITE_CAP_USD*FX_USD),0)</f>
        <v/>
      </c>
      <c r="R43" s="20">
        <f>($P43+$Q43)*VAT_FEES</f>
        <v/>
      </c>
      <c r="S43" s="20">
        <f>IF(AND($C43="Etsy",$L43&gt;0,$O43&gt;0),(ETSY_PROC_PCT*$N43+ETSY_PROC_FIXED)*MIN(1,$L43/$O43)*(1+VAT_FEES),0)</f>
        <v/>
      </c>
      <c r="T43" s="20">
        <f>$O43-$P43-$Q43-$R43-$J43-$K43-$L43+$S43</f>
        <v/>
      </c>
      <c r="U43" s="21">
        <f>IF($O43&gt;0,$T43/$O43,0)</f>
        <v/>
      </c>
    </row>
    <row r="44">
      <c r="A44" s="17" t="n"/>
      <c r="B44" s="7" t="n"/>
      <c r="C44" s="7" t="n"/>
      <c r="D44" s="18" t="n"/>
      <c r="E44" s="18" t="n"/>
      <c r="F44" s="18" t="n"/>
      <c r="G44" s="18" t="n"/>
      <c r="H44" s="7" t="n"/>
      <c r="I44" s="7" t="n"/>
      <c r="J44" s="18" t="n"/>
      <c r="K44" s="18" t="n"/>
      <c r="L44" s="18" t="n"/>
      <c r="M44" s="19">
        <f>IF($A44="","",DATE(YEAR($A44),MONTH($A44),1))</f>
        <v/>
      </c>
      <c r="N44" s="20">
        <f>IF($A44="",0,$D44+$E44-$F44+$G44)</f>
        <v/>
      </c>
      <c r="O44" s="20">
        <f>IF($A44="",0,$D44+$E44-$F44)</f>
        <v/>
      </c>
      <c r="P44" s="20">
        <f>IF($C44="Etsy",ETSY_LISTING_USD*FX_USD+(ETSY_TXN+ETSY_REG)*$O44+ETSY_PROC_PCT*$N44+ETSY_PROC_FIXED,IF($C44="Shopify",IF($I44="Yes",SHOP_INTL,SHOP_STD)*$N44+SHOP_CARD_FIXED,0))</f>
        <v/>
      </c>
      <c r="Q44" s="20">
        <f>IF(AND($C44="Etsy",$H44="Yes"),MIN(ETSY_OFFSITE*$O44,ETSY_OFFSITE_CAP_USD*FX_USD),0)</f>
        <v/>
      </c>
      <c r="R44" s="20">
        <f>($P44+$Q44)*VAT_FEES</f>
        <v/>
      </c>
      <c r="S44" s="20">
        <f>IF(AND($C44="Etsy",$L44&gt;0,$O44&gt;0),(ETSY_PROC_PCT*$N44+ETSY_PROC_FIXED)*MIN(1,$L44/$O44)*(1+VAT_FEES),0)</f>
        <v/>
      </c>
      <c r="T44" s="20">
        <f>$O44-$P44-$Q44-$R44-$J44-$K44-$L44+$S44</f>
        <v/>
      </c>
      <c r="U44" s="21">
        <f>IF($O44&gt;0,$T44/$O44,0)</f>
        <v/>
      </c>
    </row>
    <row r="45">
      <c r="A45" s="17" t="n"/>
      <c r="B45" s="7" t="n"/>
      <c r="C45" s="7" t="n"/>
      <c r="D45" s="18" t="n"/>
      <c r="E45" s="18" t="n"/>
      <c r="F45" s="18" t="n"/>
      <c r="G45" s="18" t="n"/>
      <c r="H45" s="7" t="n"/>
      <c r="I45" s="7" t="n"/>
      <c r="J45" s="18" t="n"/>
      <c r="K45" s="18" t="n"/>
      <c r="L45" s="18" t="n"/>
      <c r="M45" s="19">
        <f>IF($A45="","",DATE(YEAR($A45),MONTH($A45),1))</f>
        <v/>
      </c>
      <c r="N45" s="20">
        <f>IF($A45="",0,$D45+$E45-$F45+$G45)</f>
        <v/>
      </c>
      <c r="O45" s="20">
        <f>IF($A45="",0,$D45+$E45-$F45)</f>
        <v/>
      </c>
      <c r="P45" s="20">
        <f>IF($C45="Etsy",ETSY_LISTING_USD*FX_USD+(ETSY_TXN+ETSY_REG)*$O45+ETSY_PROC_PCT*$N45+ETSY_PROC_FIXED,IF($C45="Shopify",IF($I45="Yes",SHOP_INTL,SHOP_STD)*$N45+SHOP_CARD_FIXED,0))</f>
        <v/>
      </c>
      <c r="Q45" s="20">
        <f>IF(AND($C45="Etsy",$H45="Yes"),MIN(ETSY_OFFSITE*$O45,ETSY_OFFSITE_CAP_USD*FX_USD),0)</f>
        <v/>
      </c>
      <c r="R45" s="20">
        <f>($P45+$Q45)*VAT_FEES</f>
        <v/>
      </c>
      <c r="S45" s="20">
        <f>IF(AND($C45="Etsy",$L45&gt;0,$O45&gt;0),(ETSY_PROC_PCT*$N45+ETSY_PROC_FIXED)*MIN(1,$L45/$O45)*(1+VAT_FEES),0)</f>
        <v/>
      </c>
      <c r="T45" s="20">
        <f>$O45-$P45-$Q45-$R45-$J45-$K45-$L45+$S45</f>
        <v/>
      </c>
      <c r="U45" s="21">
        <f>IF($O45&gt;0,$T45/$O45,0)</f>
        <v/>
      </c>
    </row>
    <row r="46">
      <c r="A46" s="17" t="n"/>
      <c r="B46" s="7" t="n"/>
      <c r="C46" s="7" t="n"/>
      <c r="D46" s="18" t="n"/>
      <c r="E46" s="18" t="n"/>
      <c r="F46" s="18" t="n"/>
      <c r="G46" s="18" t="n"/>
      <c r="H46" s="7" t="n"/>
      <c r="I46" s="7" t="n"/>
      <c r="J46" s="18" t="n"/>
      <c r="K46" s="18" t="n"/>
      <c r="L46" s="18" t="n"/>
      <c r="M46" s="19">
        <f>IF($A46="","",DATE(YEAR($A46),MONTH($A46),1))</f>
        <v/>
      </c>
      <c r="N46" s="20">
        <f>IF($A46="",0,$D46+$E46-$F46+$G46)</f>
        <v/>
      </c>
      <c r="O46" s="20">
        <f>IF($A46="",0,$D46+$E46-$F46)</f>
        <v/>
      </c>
      <c r="P46" s="20">
        <f>IF($C46="Etsy",ETSY_LISTING_USD*FX_USD+(ETSY_TXN+ETSY_REG)*$O46+ETSY_PROC_PCT*$N46+ETSY_PROC_FIXED,IF($C46="Shopify",IF($I46="Yes",SHOP_INTL,SHOP_STD)*$N46+SHOP_CARD_FIXED,0))</f>
        <v/>
      </c>
      <c r="Q46" s="20">
        <f>IF(AND($C46="Etsy",$H46="Yes"),MIN(ETSY_OFFSITE*$O46,ETSY_OFFSITE_CAP_USD*FX_USD),0)</f>
        <v/>
      </c>
      <c r="R46" s="20">
        <f>($P46+$Q46)*VAT_FEES</f>
        <v/>
      </c>
      <c r="S46" s="20">
        <f>IF(AND($C46="Etsy",$L46&gt;0,$O46&gt;0),(ETSY_PROC_PCT*$N46+ETSY_PROC_FIXED)*MIN(1,$L46/$O46)*(1+VAT_FEES),0)</f>
        <v/>
      </c>
      <c r="T46" s="20">
        <f>$O46-$P46-$Q46-$R46-$J46-$K46-$L46+$S46</f>
        <v/>
      </c>
      <c r="U46" s="21">
        <f>IF($O46&gt;0,$T46/$O46,0)</f>
        <v/>
      </c>
    </row>
    <row r="47">
      <c r="A47" s="17" t="n"/>
      <c r="B47" s="7" t="n"/>
      <c r="C47" s="7" t="n"/>
      <c r="D47" s="18" t="n"/>
      <c r="E47" s="18" t="n"/>
      <c r="F47" s="18" t="n"/>
      <c r="G47" s="18" t="n"/>
      <c r="H47" s="7" t="n"/>
      <c r="I47" s="7" t="n"/>
      <c r="J47" s="18" t="n"/>
      <c r="K47" s="18" t="n"/>
      <c r="L47" s="18" t="n"/>
      <c r="M47" s="19">
        <f>IF($A47="","",DATE(YEAR($A47),MONTH($A47),1))</f>
        <v/>
      </c>
      <c r="N47" s="20">
        <f>IF($A47="",0,$D47+$E47-$F47+$G47)</f>
        <v/>
      </c>
      <c r="O47" s="20">
        <f>IF($A47="",0,$D47+$E47-$F47)</f>
        <v/>
      </c>
      <c r="P47" s="20">
        <f>IF($C47="Etsy",ETSY_LISTING_USD*FX_USD+(ETSY_TXN+ETSY_REG)*$O47+ETSY_PROC_PCT*$N47+ETSY_PROC_FIXED,IF($C47="Shopify",IF($I47="Yes",SHOP_INTL,SHOP_STD)*$N47+SHOP_CARD_FIXED,0))</f>
        <v/>
      </c>
      <c r="Q47" s="20">
        <f>IF(AND($C47="Etsy",$H47="Yes"),MIN(ETSY_OFFSITE*$O47,ETSY_OFFSITE_CAP_USD*FX_USD),0)</f>
        <v/>
      </c>
      <c r="R47" s="20">
        <f>($P47+$Q47)*VAT_FEES</f>
        <v/>
      </c>
      <c r="S47" s="20">
        <f>IF(AND($C47="Etsy",$L47&gt;0,$O47&gt;0),(ETSY_PROC_PCT*$N47+ETSY_PROC_FIXED)*MIN(1,$L47/$O47)*(1+VAT_FEES),0)</f>
        <v/>
      </c>
      <c r="T47" s="20">
        <f>$O47-$P47-$Q47-$R47-$J47-$K47-$L47+$S47</f>
        <v/>
      </c>
      <c r="U47" s="21">
        <f>IF($O47&gt;0,$T47/$O47,0)</f>
        <v/>
      </c>
    </row>
    <row r="48">
      <c r="A48" s="17" t="n"/>
      <c r="B48" s="7" t="n"/>
      <c r="C48" s="7" t="n"/>
      <c r="D48" s="18" t="n"/>
      <c r="E48" s="18" t="n"/>
      <c r="F48" s="18" t="n"/>
      <c r="G48" s="18" t="n"/>
      <c r="H48" s="7" t="n"/>
      <c r="I48" s="7" t="n"/>
      <c r="J48" s="18" t="n"/>
      <c r="K48" s="18" t="n"/>
      <c r="L48" s="18" t="n"/>
      <c r="M48" s="19">
        <f>IF($A48="","",DATE(YEAR($A48),MONTH($A48),1))</f>
        <v/>
      </c>
      <c r="N48" s="20">
        <f>IF($A48="",0,$D48+$E48-$F48+$G48)</f>
        <v/>
      </c>
      <c r="O48" s="20">
        <f>IF($A48="",0,$D48+$E48-$F48)</f>
        <v/>
      </c>
      <c r="P48" s="20">
        <f>IF($C48="Etsy",ETSY_LISTING_USD*FX_USD+(ETSY_TXN+ETSY_REG)*$O48+ETSY_PROC_PCT*$N48+ETSY_PROC_FIXED,IF($C48="Shopify",IF($I48="Yes",SHOP_INTL,SHOP_STD)*$N48+SHOP_CARD_FIXED,0))</f>
        <v/>
      </c>
      <c r="Q48" s="20">
        <f>IF(AND($C48="Etsy",$H48="Yes"),MIN(ETSY_OFFSITE*$O48,ETSY_OFFSITE_CAP_USD*FX_USD),0)</f>
        <v/>
      </c>
      <c r="R48" s="20">
        <f>($P48+$Q48)*VAT_FEES</f>
        <v/>
      </c>
      <c r="S48" s="20">
        <f>IF(AND($C48="Etsy",$L48&gt;0,$O48&gt;0),(ETSY_PROC_PCT*$N48+ETSY_PROC_FIXED)*MIN(1,$L48/$O48)*(1+VAT_FEES),0)</f>
        <v/>
      </c>
      <c r="T48" s="20">
        <f>$O48-$P48-$Q48-$R48-$J48-$K48-$L48+$S48</f>
        <v/>
      </c>
      <c r="U48" s="21">
        <f>IF($O48&gt;0,$T48/$O48,0)</f>
        <v/>
      </c>
    </row>
    <row r="49">
      <c r="A49" s="17" t="n"/>
      <c r="B49" s="7" t="n"/>
      <c r="C49" s="7" t="n"/>
      <c r="D49" s="18" t="n"/>
      <c r="E49" s="18" t="n"/>
      <c r="F49" s="18" t="n"/>
      <c r="G49" s="18" t="n"/>
      <c r="H49" s="7" t="n"/>
      <c r="I49" s="7" t="n"/>
      <c r="J49" s="18" t="n"/>
      <c r="K49" s="18" t="n"/>
      <c r="L49" s="18" t="n"/>
      <c r="M49" s="19">
        <f>IF($A49="","",DATE(YEAR($A49),MONTH($A49),1))</f>
        <v/>
      </c>
      <c r="N49" s="20">
        <f>IF($A49="",0,$D49+$E49-$F49+$G49)</f>
        <v/>
      </c>
      <c r="O49" s="20">
        <f>IF($A49="",0,$D49+$E49-$F49)</f>
        <v/>
      </c>
      <c r="P49" s="20">
        <f>IF($C49="Etsy",ETSY_LISTING_USD*FX_USD+(ETSY_TXN+ETSY_REG)*$O49+ETSY_PROC_PCT*$N49+ETSY_PROC_FIXED,IF($C49="Shopify",IF($I49="Yes",SHOP_INTL,SHOP_STD)*$N49+SHOP_CARD_FIXED,0))</f>
        <v/>
      </c>
      <c r="Q49" s="20">
        <f>IF(AND($C49="Etsy",$H49="Yes"),MIN(ETSY_OFFSITE*$O49,ETSY_OFFSITE_CAP_USD*FX_USD),0)</f>
        <v/>
      </c>
      <c r="R49" s="20">
        <f>($P49+$Q49)*VAT_FEES</f>
        <v/>
      </c>
      <c r="S49" s="20">
        <f>IF(AND($C49="Etsy",$L49&gt;0,$O49&gt;0),(ETSY_PROC_PCT*$N49+ETSY_PROC_FIXED)*MIN(1,$L49/$O49)*(1+VAT_FEES),0)</f>
        <v/>
      </c>
      <c r="T49" s="20">
        <f>$O49-$P49-$Q49-$R49-$J49-$K49-$L49+$S49</f>
        <v/>
      </c>
      <c r="U49" s="21">
        <f>IF($O49&gt;0,$T49/$O49,0)</f>
        <v/>
      </c>
    </row>
    <row r="50">
      <c r="A50" s="17" t="n"/>
      <c r="B50" s="7" t="n"/>
      <c r="C50" s="7" t="n"/>
      <c r="D50" s="18" t="n"/>
      <c r="E50" s="18" t="n"/>
      <c r="F50" s="18" t="n"/>
      <c r="G50" s="18" t="n"/>
      <c r="H50" s="7" t="n"/>
      <c r="I50" s="7" t="n"/>
      <c r="J50" s="18" t="n"/>
      <c r="K50" s="18" t="n"/>
      <c r="L50" s="18" t="n"/>
      <c r="M50" s="19">
        <f>IF($A50="","",DATE(YEAR($A50),MONTH($A50),1))</f>
        <v/>
      </c>
      <c r="N50" s="20">
        <f>IF($A50="",0,$D50+$E50-$F50+$G50)</f>
        <v/>
      </c>
      <c r="O50" s="20">
        <f>IF($A50="",0,$D50+$E50-$F50)</f>
        <v/>
      </c>
      <c r="P50" s="20">
        <f>IF($C50="Etsy",ETSY_LISTING_USD*FX_USD+(ETSY_TXN+ETSY_REG)*$O50+ETSY_PROC_PCT*$N50+ETSY_PROC_FIXED,IF($C50="Shopify",IF($I50="Yes",SHOP_INTL,SHOP_STD)*$N50+SHOP_CARD_FIXED,0))</f>
        <v/>
      </c>
      <c r="Q50" s="20">
        <f>IF(AND($C50="Etsy",$H50="Yes"),MIN(ETSY_OFFSITE*$O50,ETSY_OFFSITE_CAP_USD*FX_USD),0)</f>
        <v/>
      </c>
      <c r="R50" s="20">
        <f>($P50+$Q50)*VAT_FEES</f>
        <v/>
      </c>
      <c r="S50" s="20">
        <f>IF(AND($C50="Etsy",$L50&gt;0,$O50&gt;0),(ETSY_PROC_PCT*$N50+ETSY_PROC_FIXED)*MIN(1,$L50/$O50)*(1+VAT_FEES),0)</f>
        <v/>
      </c>
      <c r="T50" s="20">
        <f>$O50-$P50-$Q50-$R50-$J50-$K50-$L50+$S50</f>
        <v/>
      </c>
      <c r="U50" s="21">
        <f>IF($O50&gt;0,$T50/$O50,0)</f>
        <v/>
      </c>
    </row>
    <row r="51">
      <c r="A51" s="17" t="n"/>
      <c r="B51" s="7" t="n"/>
      <c r="C51" s="7" t="n"/>
      <c r="D51" s="18" t="n"/>
      <c r="E51" s="18" t="n"/>
      <c r="F51" s="18" t="n"/>
      <c r="G51" s="18" t="n"/>
      <c r="H51" s="7" t="n"/>
      <c r="I51" s="7" t="n"/>
      <c r="J51" s="18" t="n"/>
      <c r="K51" s="18" t="n"/>
      <c r="L51" s="18" t="n"/>
      <c r="M51" s="19">
        <f>IF($A51="","",DATE(YEAR($A51),MONTH($A51),1))</f>
        <v/>
      </c>
      <c r="N51" s="20">
        <f>IF($A51="",0,$D51+$E51-$F51+$G51)</f>
        <v/>
      </c>
      <c r="O51" s="20">
        <f>IF($A51="",0,$D51+$E51-$F51)</f>
        <v/>
      </c>
      <c r="P51" s="20">
        <f>IF($C51="Etsy",ETSY_LISTING_USD*FX_USD+(ETSY_TXN+ETSY_REG)*$O51+ETSY_PROC_PCT*$N51+ETSY_PROC_FIXED,IF($C51="Shopify",IF($I51="Yes",SHOP_INTL,SHOP_STD)*$N51+SHOP_CARD_FIXED,0))</f>
        <v/>
      </c>
      <c r="Q51" s="20">
        <f>IF(AND($C51="Etsy",$H51="Yes"),MIN(ETSY_OFFSITE*$O51,ETSY_OFFSITE_CAP_USD*FX_USD),0)</f>
        <v/>
      </c>
      <c r="R51" s="20">
        <f>($P51+$Q51)*VAT_FEES</f>
        <v/>
      </c>
      <c r="S51" s="20">
        <f>IF(AND($C51="Etsy",$L51&gt;0,$O51&gt;0),(ETSY_PROC_PCT*$N51+ETSY_PROC_FIXED)*MIN(1,$L51/$O51)*(1+VAT_FEES),0)</f>
        <v/>
      </c>
      <c r="T51" s="20">
        <f>$O51-$P51-$Q51-$R51-$J51-$K51-$L51+$S51</f>
        <v/>
      </c>
      <c r="U51" s="21">
        <f>IF($O51&gt;0,$T51/$O51,0)</f>
        <v/>
      </c>
    </row>
    <row r="52">
      <c r="A52" s="17" t="n"/>
      <c r="B52" s="7" t="n"/>
      <c r="C52" s="7" t="n"/>
      <c r="D52" s="18" t="n"/>
      <c r="E52" s="18" t="n"/>
      <c r="F52" s="18" t="n"/>
      <c r="G52" s="18" t="n"/>
      <c r="H52" s="7" t="n"/>
      <c r="I52" s="7" t="n"/>
      <c r="J52" s="18" t="n"/>
      <c r="K52" s="18" t="n"/>
      <c r="L52" s="18" t="n"/>
      <c r="M52" s="19">
        <f>IF($A52="","",DATE(YEAR($A52),MONTH($A52),1))</f>
        <v/>
      </c>
      <c r="N52" s="20">
        <f>IF($A52="",0,$D52+$E52-$F52+$G52)</f>
        <v/>
      </c>
      <c r="O52" s="20">
        <f>IF($A52="",0,$D52+$E52-$F52)</f>
        <v/>
      </c>
      <c r="P52" s="20">
        <f>IF($C52="Etsy",ETSY_LISTING_USD*FX_USD+(ETSY_TXN+ETSY_REG)*$O52+ETSY_PROC_PCT*$N52+ETSY_PROC_FIXED,IF($C52="Shopify",IF($I52="Yes",SHOP_INTL,SHOP_STD)*$N52+SHOP_CARD_FIXED,0))</f>
        <v/>
      </c>
      <c r="Q52" s="20">
        <f>IF(AND($C52="Etsy",$H52="Yes"),MIN(ETSY_OFFSITE*$O52,ETSY_OFFSITE_CAP_USD*FX_USD),0)</f>
        <v/>
      </c>
      <c r="R52" s="20">
        <f>($P52+$Q52)*VAT_FEES</f>
        <v/>
      </c>
      <c r="S52" s="20">
        <f>IF(AND($C52="Etsy",$L52&gt;0,$O52&gt;0),(ETSY_PROC_PCT*$N52+ETSY_PROC_FIXED)*MIN(1,$L52/$O52)*(1+VAT_FEES),0)</f>
        <v/>
      </c>
      <c r="T52" s="20">
        <f>$O52-$P52-$Q52-$R52-$J52-$K52-$L52+$S52</f>
        <v/>
      </c>
      <c r="U52" s="21">
        <f>IF($O52&gt;0,$T52/$O52,0)</f>
        <v/>
      </c>
    </row>
    <row r="53">
      <c r="A53" s="17" t="n"/>
      <c r="B53" s="7" t="n"/>
      <c r="C53" s="7" t="n"/>
      <c r="D53" s="18" t="n"/>
      <c r="E53" s="18" t="n"/>
      <c r="F53" s="18" t="n"/>
      <c r="G53" s="18" t="n"/>
      <c r="H53" s="7" t="n"/>
      <c r="I53" s="7" t="n"/>
      <c r="J53" s="18" t="n"/>
      <c r="K53" s="18" t="n"/>
      <c r="L53" s="18" t="n"/>
      <c r="M53" s="19">
        <f>IF($A53="","",DATE(YEAR($A53),MONTH($A53),1))</f>
        <v/>
      </c>
      <c r="N53" s="20">
        <f>IF($A53="",0,$D53+$E53-$F53+$G53)</f>
        <v/>
      </c>
      <c r="O53" s="20">
        <f>IF($A53="",0,$D53+$E53-$F53)</f>
        <v/>
      </c>
      <c r="P53" s="20">
        <f>IF($C53="Etsy",ETSY_LISTING_USD*FX_USD+(ETSY_TXN+ETSY_REG)*$O53+ETSY_PROC_PCT*$N53+ETSY_PROC_FIXED,IF($C53="Shopify",IF($I53="Yes",SHOP_INTL,SHOP_STD)*$N53+SHOP_CARD_FIXED,0))</f>
        <v/>
      </c>
      <c r="Q53" s="20">
        <f>IF(AND($C53="Etsy",$H53="Yes"),MIN(ETSY_OFFSITE*$O53,ETSY_OFFSITE_CAP_USD*FX_USD),0)</f>
        <v/>
      </c>
      <c r="R53" s="20">
        <f>($P53+$Q53)*VAT_FEES</f>
        <v/>
      </c>
      <c r="S53" s="20">
        <f>IF(AND($C53="Etsy",$L53&gt;0,$O53&gt;0),(ETSY_PROC_PCT*$N53+ETSY_PROC_FIXED)*MIN(1,$L53/$O53)*(1+VAT_FEES),0)</f>
        <v/>
      </c>
      <c r="T53" s="20">
        <f>$O53-$P53-$Q53-$R53-$J53-$K53-$L53+$S53</f>
        <v/>
      </c>
      <c r="U53" s="21">
        <f>IF($O53&gt;0,$T53/$O53,0)</f>
        <v/>
      </c>
    </row>
    <row r="54">
      <c r="A54" s="17" t="n"/>
      <c r="B54" s="7" t="n"/>
      <c r="C54" s="7" t="n"/>
      <c r="D54" s="18" t="n"/>
      <c r="E54" s="18" t="n"/>
      <c r="F54" s="18" t="n"/>
      <c r="G54" s="18" t="n"/>
      <c r="H54" s="7" t="n"/>
      <c r="I54" s="7" t="n"/>
      <c r="J54" s="18" t="n"/>
      <c r="K54" s="18" t="n"/>
      <c r="L54" s="18" t="n"/>
      <c r="M54" s="19">
        <f>IF($A54="","",DATE(YEAR($A54),MONTH($A54),1))</f>
        <v/>
      </c>
      <c r="N54" s="20">
        <f>IF($A54="",0,$D54+$E54-$F54+$G54)</f>
        <v/>
      </c>
      <c r="O54" s="20">
        <f>IF($A54="",0,$D54+$E54-$F54)</f>
        <v/>
      </c>
      <c r="P54" s="20">
        <f>IF($C54="Etsy",ETSY_LISTING_USD*FX_USD+(ETSY_TXN+ETSY_REG)*$O54+ETSY_PROC_PCT*$N54+ETSY_PROC_FIXED,IF($C54="Shopify",IF($I54="Yes",SHOP_INTL,SHOP_STD)*$N54+SHOP_CARD_FIXED,0))</f>
        <v/>
      </c>
      <c r="Q54" s="20">
        <f>IF(AND($C54="Etsy",$H54="Yes"),MIN(ETSY_OFFSITE*$O54,ETSY_OFFSITE_CAP_USD*FX_USD),0)</f>
        <v/>
      </c>
      <c r="R54" s="20">
        <f>($P54+$Q54)*VAT_FEES</f>
        <v/>
      </c>
      <c r="S54" s="20">
        <f>IF(AND($C54="Etsy",$L54&gt;0,$O54&gt;0),(ETSY_PROC_PCT*$N54+ETSY_PROC_FIXED)*MIN(1,$L54/$O54)*(1+VAT_FEES),0)</f>
        <v/>
      </c>
      <c r="T54" s="20">
        <f>$O54-$P54-$Q54-$R54-$J54-$K54-$L54+$S54</f>
        <v/>
      </c>
      <c r="U54" s="21">
        <f>IF($O54&gt;0,$T54/$O54,0)</f>
        <v/>
      </c>
    </row>
    <row r="56">
      <c r="A56" s="3" t="inlineStr">
        <is>
          <t>Row limit reached at 30 orders? The full version has room for 1,000 order lines: https://xndr.io/profit-ledger</t>
        </is>
      </c>
    </row>
  </sheetData>
  <sheetProtection selectLockedCells="0" selectUnlockedCells="0" sheet="1" objects="0" insertRows="1" insertHyperlinks="1" autoFilter="0" scenarios="0" formatColumns="0" deleteColumns="1" insertColumns="1" pivotTables="1" deleteRows="1" formatCells="0" formatRows="0" sort="0"/>
  <mergeCells count="1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L21"/>
    <mergeCell ref="A22:L22"/>
  </mergeCells>
  <conditionalFormatting sqref="A21">
    <cfRule type="expression" priority="1" dxfId="0">
      <formula>A21&lt;&gt;""</formula>
    </cfRule>
  </conditionalFormatting>
  <conditionalFormatting sqref="A22">
    <cfRule type="expression" priority="2" dxfId="0">
      <formula>A22&lt;&gt;""</formula>
    </cfRule>
  </conditionalFormatting>
  <conditionalFormatting sqref="T25:U54">
    <cfRule type="expression" priority="3" dxfId="0">
      <formula>AND($A25&lt;&gt;"",$T25&lt;0)</formula>
    </cfRule>
  </conditionalFormatting>
  <dataValidations count="7">
    <dataValidation sqref="D7" showErrorMessage="1" showDropDown="0" showInputMessage="1" allowBlank="1" errorTitle="Not in the list" error="Pick a value from the list." type="list">
      <formula1>='Sources'!$A$28:$A$56</formula1>
    </dataValidation>
    <dataValidation sqref="D9" showErrorMessage="1" showDropDown="0" showInputMessage="1" allowBlank="1" errorTitle="Not in the list" error="Pick a value from the list." type="list">
      <formula1>"Yes,No"</formula1>
    </dataValidation>
    <dataValidation sqref="D10" showErrorMessage="1" showDropDown="0" showInputMessage="1" allowBlank="1" errorTitle="Not in the list" error="Pick a value from the list." type="list">
      <formula1>"Yes,No"</formula1>
    </dataValidation>
    <dataValidation sqref="D11" showErrorMessage="1" showDropDown="0" showInputMessage="1" allowBlank="1" errorTitle="Not in the list" error="Pick a value from the list." type="list">
      <formula1>"Basic,Grow,Advanced,Plus"</formula1>
    </dataValidation>
    <dataValidation sqref="C25:C54" showErrorMessage="1" showDropDown="0" showInputMessage="1" allowBlank="1" errorTitle="Not in the list" error="Pick a value from the list." type="list">
      <formula1>"Etsy,Shopify"</formula1>
    </dataValidation>
    <dataValidation sqref="H25:H54" showErrorMessage="1" showDropDown="0" showInputMessage="1" allowBlank="1" errorTitle="Not in the list" error="Pick a value from the list." type="list">
      <formula1>"Yes,No"</formula1>
    </dataValidation>
    <dataValidation sqref="I25:I54" showErrorMessage="1" showDropDown="0" showInputMessage="1" allowBlank="1" errorTitle="Not in the list" error="Pick a value from the list."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0" customWidth="1" min="1" max="1"/>
    <col width="13" customWidth="1" min="2" max="2"/>
    <col width="13" customWidth="1" min="3" max="3"/>
    <col width="13" customWidth="1" min="4" max="4"/>
    <col width="13" customWidth="1" min="5" max="5"/>
  </cols>
  <sheetData>
    <row r="1">
      <c r="A1" s="1" t="inlineStr">
        <is>
          <t>Summary</t>
        </is>
      </c>
    </row>
    <row r="2">
      <c r="A2" s="2" t="inlineStr">
        <is>
          <t>Totals from the Orders tab. Pick a year for the month table.</t>
        </is>
      </c>
    </row>
    <row r="3">
      <c r="A3" s="22" t="inlineStr">
        <is>
          <t>Year</t>
        </is>
      </c>
      <c r="B3" s="23" t="n">
        <v>2026</v>
      </c>
    </row>
    <row r="5">
      <c r="A5" s="5" t="inlineStr">
        <is>
          <t>All orders on the Orders tab</t>
        </is>
      </c>
      <c r="B5" s="5" t="inlineStr">
        <is>
          <t>Etsy</t>
        </is>
      </c>
      <c r="C5" s="5" t="inlineStr">
        <is>
          <t>Shopify</t>
        </is>
      </c>
      <c r="D5" s="5" t="inlineStr">
        <is>
          <t>Total</t>
        </is>
      </c>
    </row>
    <row r="6">
      <c r="A6" s="6" t="inlineStr">
        <is>
          <t>Orders</t>
        </is>
      </c>
      <c r="B6" s="24">
        <f>COUNTIFS('Orders'!$C$25:$C$54,"Etsy",'Orders'!$A$25:$A$54,"&gt;0")</f>
        <v/>
      </c>
      <c r="C6" s="24">
        <f>COUNTIFS('Orders'!$C$25:$C$54,"Shopify",'Orders'!$A$25:$A$54,"&gt;0")</f>
        <v/>
      </c>
      <c r="D6" s="24">
        <f>B6+C6</f>
        <v/>
      </c>
    </row>
    <row r="7">
      <c r="A7" s="6" t="inlineStr">
        <is>
          <t>Revenue excl. tax</t>
        </is>
      </c>
      <c r="B7" s="12">
        <f>SUMIFS('Orders'!$O$25:$O$54,'Orders'!$C$25:$C$54,"Etsy")</f>
        <v/>
      </c>
      <c r="C7" s="12">
        <f>SUMIFS('Orders'!$O$25:$O$54,'Orders'!$C$25:$C$54,"Shopify")</f>
        <v/>
      </c>
      <c r="D7" s="12">
        <f>B7+C7</f>
        <v/>
      </c>
    </row>
    <row r="8">
      <c r="A8" s="6" t="inlineStr">
        <is>
          <t>Platform fees incl. Offsite Ads</t>
        </is>
      </c>
      <c r="B8" s="12">
        <f>SUMIFS('Orders'!$P$25:$P$54,'Orders'!$C$25:$C$54,"Etsy")+SUMIFS('Orders'!$Q$25:$Q$54,'Orders'!$C$25:$C$54,"Etsy")</f>
        <v/>
      </c>
      <c r="C8" s="12">
        <f>SUMIFS('Orders'!$P$25:$P$54,'Orders'!$C$25:$C$54,"Shopify")+SUMIFS('Orders'!$Q$25:$Q$54,'Orders'!$C$25:$C$54,"Shopify")</f>
        <v/>
      </c>
      <c r="D8" s="12">
        <f>B8+C8</f>
        <v/>
      </c>
    </row>
    <row r="9">
      <c r="A9" s="6" t="inlineStr">
        <is>
          <t>VAT on fees</t>
        </is>
      </c>
      <c r="B9" s="12">
        <f>SUMIFS('Orders'!$R$25:$R$54,'Orders'!$C$25:$C$54,"Etsy")</f>
        <v/>
      </c>
      <c r="C9" s="12">
        <f>SUMIFS('Orders'!$R$25:$R$54,'Orders'!$C$25:$C$54,"Shopify")</f>
        <v/>
      </c>
      <c r="D9" s="12">
        <f>B9+C9</f>
        <v/>
      </c>
    </row>
    <row r="10">
      <c r="A10" s="6" t="inlineStr">
        <is>
          <t>Your postage</t>
        </is>
      </c>
      <c r="B10" s="12">
        <f>SUMIFS('Orders'!$J$25:$J$54,'Orders'!$C$25:$C$54,"Etsy")</f>
        <v/>
      </c>
      <c r="C10" s="12">
        <f>SUMIFS('Orders'!$J$25:$J$54,'Orders'!$C$25:$C$54,"Shopify")</f>
        <v/>
      </c>
      <c r="D10" s="12">
        <f>B10+C10</f>
        <v/>
      </c>
    </row>
    <row r="11">
      <c r="A11" s="6" t="inlineStr">
        <is>
          <t>Product costs</t>
        </is>
      </c>
      <c r="B11" s="12">
        <f>SUMIFS('Orders'!$K$25:$K$54,'Orders'!$C$25:$C$54,"Etsy")</f>
        <v/>
      </c>
      <c r="C11" s="12">
        <f>SUMIFS('Orders'!$K$25:$K$54,'Orders'!$C$25:$C$54,"Shopify")</f>
        <v/>
      </c>
      <c r="D11" s="12">
        <f>B11+C11</f>
        <v/>
      </c>
    </row>
    <row r="12">
      <c r="A12" s="6" t="inlineStr">
        <is>
          <t>Refunds, after Etsy fee credit</t>
        </is>
      </c>
      <c r="B12" s="12">
        <f>SUMIFS('Orders'!$L$25:$L$54,'Orders'!$C$25:$C$54,"Etsy")-SUMIFS('Orders'!$S$25:$S$54,'Orders'!$C$25:$C$54,"Etsy")</f>
        <v/>
      </c>
      <c r="C12" s="12">
        <f>SUMIFS('Orders'!$L$25:$L$54,'Orders'!$C$25:$C$54,"Shopify")-SUMIFS('Orders'!$S$25:$S$54,'Orders'!$C$25:$C$54,"Shopify")</f>
        <v/>
      </c>
      <c r="D12" s="12">
        <f>B12+C12</f>
        <v/>
      </c>
    </row>
    <row r="13">
      <c r="A13" s="22" t="inlineStr">
        <is>
          <t>Net profit</t>
        </is>
      </c>
      <c r="B13" s="25">
        <f>SUMIFS('Orders'!$T$25:$T$54,'Orders'!$C$25:$C$54,"Etsy")</f>
        <v/>
      </c>
      <c r="C13" s="25">
        <f>SUMIFS('Orders'!$T$25:$T$54,'Orders'!$C$25:$C$54,"Shopify")</f>
        <v/>
      </c>
      <c r="D13" s="25">
        <f>B13+C13</f>
        <v/>
      </c>
    </row>
    <row r="14">
      <c r="A14" s="22" t="inlineStr">
        <is>
          <t>Margin</t>
        </is>
      </c>
      <c r="B14" s="26">
        <f>IF(B7&gt;0,B13/B7,0)</f>
        <v/>
      </c>
      <c r="C14" s="26">
        <f>IF(C7&gt;0,C13/C7,0)</f>
        <v/>
      </c>
      <c r="D14" s="26">
        <f>IF(D7&gt;0,D13/D7,0)</f>
        <v/>
      </c>
    </row>
    <row r="16">
      <c r="A16" s="4" t="inlineStr">
        <is>
          <t>By month</t>
        </is>
      </c>
    </row>
    <row r="17">
      <c r="A17" s="5" t="inlineStr">
        <is>
          <t>Month</t>
        </is>
      </c>
      <c r="B17" s="5" t="inlineStr">
        <is>
          <t>Orders</t>
        </is>
      </c>
      <c r="C17" s="5" t="inlineStr">
        <is>
          <t>Revenue excl. tax</t>
        </is>
      </c>
      <c r="D17" s="5" t="inlineStr">
        <is>
          <t>Net profit</t>
        </is>
      </c>
      <c r="E17" s="5" t="inlineStr">
        <is>
          <t>Margin</t>
        </is>
      </c>
    </row>
    <row r="18">
      <c r="A18" s="19">
        <f>DATE(SUM_YEAR,1,1)</f>
        <v/>
      </c>
      <c r="B18" s="24">
        <f>COUNTIFS('Orders'!$M$25:$M$54,$A18)</f>
        <v/>
      </c>
      <c r="C18" s="12">
        <f>SUMIFS('Orders'!$O$25:$O$54,'Orders'!$M$25:$M$54,$A18)</f>
        <v/>
      </c>
      <c r="D18" s="12">
        <f>SUMIFS('Orders'!$T$25:$T$54,'Orders'!$M$25:$M$54,$A18)</f>
        <v/>
      </c>
      <c r="E18" s="9">
        <f>IF(C18&gt;0,D18/C18,0)</f>
        <v/>
      </c>
    </row>
    <row r="19">
      <c r="A19" s="19">
        <f>DATE(SUM_YEAR,2,1)</f>
        <v/>
      </c>
      <c r="B19" s="24">
        <f>COUNTIFS('Orders'!$M$25:$M$54,$A19)</f>
        <v/>
      </c>
      <c r="C19" s="12">
        <f>SUMIFS('Orders'!$O$25:$O$54,'Orders'!$M$25:$M$54,$A19)</f>
        <v/>
      </c>
      <c r="D19" s="12">
        <f>SUMIFS('Orders'!$T$25:$T$54,'Orders'!$M$25:$M$54,$A19)</f>
        <v/>
      </c>
      <c r="E19" s="9">
        <f>IF(C19&gt;0,D19/C19,0)</f>
        <v/>
      </c>
    </row>
    <row r="20">
      <c r="A20" s="19">
        <f>DATE(SUM_YEAR,3,1)</f>
        <v/>
      </c>
      <c r="B20" s="24">
        <f>COUNTIFS('Orders'!$M$25:$M$54,$A20)</f>
        <v/>
      </c>
      <c r="C20" s="12">
        <f>SUMIFS('Orders'!$O$25:$O$54,'Orders'!$M$25:$M$54,$A20)</f>
        <v/>
      </c>
      <c r="D20" s="12">
        <f>SUMIFS('Orders'!$T$25:$T$54,'Orders'!$M$25:$M$54,$A20)</f>
        <v/>
      </c>
      <c r="E20" s="9">
        <f>IF(C20&gt;0,D20/C20,0)</f>
        <v/>
      </c>
    </row>
    <row r="21">
      <c r="A21" s="19">
        <f>DATE(SUM_YEAR,4,1)</f>
        <v/>
      </c>
      <c r="B21" s="24">
        <f>COUNTIFS('Orders'!$M$25:$M$54,$A21)</f>
        <v/>
      </c>
      <c r="C21" s="12">
        <f>SUMIFS('Orders'!$O$25:$O$54,'Orders'!$M$25:$M$54,$A21)</f>
        <v/>
      </c>
      <c r="D21" s="12">
        <f>SUMIFS('Orders'!$T$25:$T$54,'Orders'!$M$25:$M$54,$A21)</f>
        <v/>
      </c>
      <c r="E21" s="9">
        <f>IF(C21&gt;0,D21/C21,0)</f>
        <v/>
      </c>
    </row>
    <row r="22">
      <c r="A22" s="19">
        <f>DATE(SUM_YEAR,5,1)</f>
        <v/>
      </c>
      <c r="B22" s="24">
        <f>COUNTIFS('Orders'!$M$25:$M$54,$A22)</f>
        <v/>
      </c>
      <c r="C22" s="12">
        <f>SUMIFS('Orders'!$O$25:$O$54,'Orders'!$M$25:$M$54,$A22)</f>
        <v/>
      </c>
      <c r="D22" s="12">
        <f>SUMIFS('Orders'!$T$25:$T$54,'Orders'!$M$25:$M$54,$A22)</f>
        <v/>
      </c>
      <c r="E22" s="9">
        <f>IF(C22&gt;0,D22/C22,0)</f>
        <v/>
      </c>
    </row>
    <row r="23">
      <c r="A23" s="19">
        <f>DATE(SUM_YEAR,6,1)</f>
        <v/>
      </c>
      <c r="B23" s="24">
        <f>COUNTIFS('Orders'!$M$25:$M$54,$A23)</f>
        <v/>
      </c>
      <c r="C23" s="12">
        <f>SUMIFS('Orders'!$O$25:$O$54,'Orders'!$M$25:$M$54,$A23)</f>
        <v/>
      </c>
      <c r="D23" s="12">
        <f>SUMIFS('Orders'!$T$25:$T$54,'Orders'!$M$25:$M$54,$A23)</f>
        <v/>
      </c>
      <c r="E23" s="9">
        <f>IF(C23&gt;0,D23/C23,0)</f>
        <v/>
      </c>
    </row>
    <row r="24">
      <c r="A24" s="19">
        <f>DATE(SUM_YEAR,7,1)</f>
        <v/>
      </c>
      <c r="B24" s="24">
        <f>COUNTIFS('Orders'!$M$25:$M$54,$A24)</f>
        <v/>
      </c>
      <c r="C24" s="12">
        <f>SUMIFS('Orders'!$O$25:$O$54,'Orders'!$M$25:$M$54,$A24)</f>
        <v/>
      </c>
      <c r="D24" s="12">
        <f>SUMIFS('Orders'!$T$25:$T$54,'Orders'!$M$25:$M$54,$A24)</f>
        <v/>
      </c>
      <c r="E24" s="9">
        <f>IF(C24&gt;0,D24/C24,0)</f>
        <v/>
      </c>
    </row>
    <row r="25">
      <c r="A25" s="19">
        <f>DATE(SUM_YEAR,8,1)</f>
        <v/>
      </c>
      <c r="B25" s="24">
        <f>COUNTIFS('Orders'!$M$25:$M$54,$A25)</f>
        <v/>
      </c>
      <c r="C25" s="12">
        <f>SUMIFS('Orders'!$O$25:$O$54,'Orders'!$M$25:$M$54,$A25)</f>
        <v/>
      </c>
      <c r="D25" s="12">
        <f>SUMIFS('Orders'!$T$25:$T$54,'Orders'!$M$25:$M$54,$A25)</f>
        <v/>
      </c>
      <c r="E25" s="9">
        <f>IF(C25&gt;0,D25/C25,0)</f>
        <v/>
      </c>
    </row>
    <row r="26">
      <c r="A26" s="19">
        <f>DATE(SUM_YEAR,9,1)</f>
        <v/>
      </c>
      <c r="B26" s="24">
        <f>COUNTIFS('Orders'!$M$25:$M$54,$A26)</f>
        <v/>
      </c>
      <c r="C26" s="12">
        <f>SUMIFS('Orders'!$O$25:$O$54,'Orders'!$M$25:$M$54,$A26)</f>
        <v/>
      </c>
      <c r="D26" s="12">
        <f>SUMIFS('Orders'!$T$25:$T$54,'Orders'!$M$25:$M$54,$A26)</f>
        <v/>
      </c>
      <c r="E26" s="9">
        <f>IF(C26&gt;0,D26/C26,0)</f>
        <v/>
      </c>
    </row>
    <row r="27">
      <c r="A27" s="19">
        <f>DATE(SUM_YEAR,10,1)</f>
        <v/>
      </c>
      <c r="B27" s="24">
        <f>COUNTIFS('Orders'!$M$25:$M$54,$A27)</f>
        <v/>
      </c>
      <c r="C27" s="12">
        <f>SUMIFS('Orders'!$O$25:$O$54,'Orders'!$M$25:$M$54,$A27)</f>
        <v/>
      </c>
      <c r="D27" s="12">
        <f>SUMIFS('Orders'!$T$25:$T$54,'Orders'!$M$25:$M$54,$A27)</f>
        <v/>
      </c>
      <c r="E27" s="9">
        <f>IF(C27&gt;0,D27/C27,0)</f>
        <v/>
      </c>
    </row>
    <row r="28">
      <c r="A28" s="19">
        <f>DATE(SUM_YEAR,11,1)</f>
        <v/>
      </c>
      <c r="B28" s="24">
        <f>COUNTIFS('Orders'!$M$25:$M$54,$A28)</f>
        <v/>
      </c>
      <c r="C28" s="12">
        <f>SUMIFS('Orders'!$O$25:$O$54,'Orders'!$M$25:$M$54,$A28)</f>
        <v/>
      </c>
      <c r="D28" s="12">
        <f>SUMIFS('Orders'!$T$25:$T$54,'Orders'!$M$25:$M$54,$A28)</f>
        <v/>
      </c>
      <c r="E28" s="9">
        <f>IF(C28&gt;0,D28/C28,0)</f>
        <v/>
      </c>
    </row>
    <row r="29">
      <c r="A29" s="19">
        <f>DATE(SUM_YEAR,12,1)</f>
        <v/>
      </c>
      <c r="B29" s="24">
        <f>COUNTIFS('Orders'!$M$25:$M$54,$A29)</f>
        <v/>
      </c>
      <c r="C29" s="12">
        <f>SUMIFS('Orders'!$O$25:$O$54,'Orders'!$M$25:$M$54,$A29)</f>
        <v/>
      </c>
      <c r="D29" s="12">
        <f>SUMIFS('Orders'!$T$25:$T$54,'Orders'!$M$25:$M$54,$A29)</f>
        <v/>
      </c>
      <c r="E29" s="9">
        <f>IF(C29&gt;0,D29/C29,0)</f>
        <v/>
      </c>
    </row>
    <row r="30">
      <c r="A30" s="27" t="inlineStr">
        <is>
          <t>Year total</t>
        </is>
      </c>
      <c r="B30" s="28">
        <f>SUM(B18:B29)</f>
        <v/>
      </c>
      <c r="C30" s="25">
        <f>SUM(C18:C29)</f>
        <v/>
      </c>
      <c r="D30" s="25">
        <f>SUM(D18:D29)</f>
        <v/>
      </c>
      <c r="E30" s="26">
        <f>IF(C30&gt;0,D30/C30,0)</f>
        <v/>
      </c>
    </row>
    <row r="32">
      <c r="A32" s="3" t="inlineStr">
        <is>
          <t>The full version (EUR 19, one-time) adds:</t>
        </is>
      </c>
    </row>
    <row r="33">
      <c r="A33" s="29" t="inlineStr">
        <is>
          <t>- 1,000 order lines, multi-item orders, products with unit costs, break-even and target-margin prices</t>
        </is>
      </c>
    </row>
    <row r="34">
      <c r="A34" s="29" t="inlineStr">
        <is>
          <t>- returns and refunds tab, monthly ads and costs, a 12-month dashboard with best and worst products</t>
        </is>
      </c>
    </row>
    <row r="35">
      <c r="A35" s="29" t="inlineStr">
        <is>
          <t>- month-end pack for your bookkeeper, price lab, Shopify CSV import, currency conversion and third-party fees</t>
        </is>
      </c>
    </row>
    <row r="36">
      <c r="A36" s="29" t="inlineStr">
        <is>
          <t>- https://xndr.io/profit-ledger</t>
        </is>
      </c>
    </row>
    <row r="38">
      <c r="A38" s="30" t="inlineStr">
        <is>
          <t>Independent product by XNDR Ventures (XNDR, SLU). Not affiliated with or endorsed by Etsy, Inc. or Shopify Inc. Etsy and Shopify are trademarks of their owners.</t>
        </is>
      </c>
    </row>
    <row r="39">
      <c r="A39" s="30" t="inlineStr">
        <is>
          <t>Licence: one business may use this file; don't resell or redistribute it.</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78"/>
  <sheetViews>
    <sheetView workbookViewId="0">
      <selection activeCell="A1" sqref="A1"/>
    </sheetView>
  </sheetViews>
  <sheetFormatPr baseColWidth="8" defaultRowHeight="15"/>
  <cols>
    <col width="6" customWidth="1" min="1" max="1"/>
    <col width="34" customWidth="1" min="2" max="2"/>
    <col width="16" customWidth="1" min="3" max="3"/>
    <col width="11" customWidth="1" min="4" max="4"/>
    <col width="90" customWidth="1" min="5" max="5"/>
    <col width="48" customWidth="1" min="6" max="6"/>
  </cols>
  <sheetData>
    <row r="1">
      <c r="A1" s="1" t="inlineStr">
        <is>
          <t>Sources</t>
        </is>
      </c>
    </row>
    <row r="2">
      <c r="A2" s="2" t="inlineStr">
        <is>
          <t>Every fee default in this file, where it comes from, and when it was checked (2026-10-11).</t>
        </is>
      </c>
    </row>
    <row r="4">
      <c r="A4" s="5" t="inlineStr">
        <is>
          <t>ID</t>
        </is>
      </c>
      <c r="B4" s="5" t="inlineStr">
        <is>
          <t>What</t>
        </is>
      </c>
      <c r="C4" s="5" t="inlineStr">
        <is>
          <t>Status</t>
        </is>
      </c>
      <c r="D4" s="5" t="inlineStr">
        <is>
          <t>Checked</t>
        </is>
      </c>
      <c r="E4" s="5" t="inlineStr">
        <is>
          <t>What the page says (quoted)</t>
        </is>
      </c>
      <c r="F4" s="5" t="inlineStr">
        <is>
          <t>URL</t>
        </is>
      </c>
    </row>
    <row r="5">
      <c r="A5" s="31" t="inlineStr">
        <is>
          <t>E0</t>
        </is>
      </c>
      <c r="B5" s="31" t="inlineStr">
        <is>
          <t>Etsy Fees &amp; Payments Policy (legal page)</t>
        </is>
      </c>
      <c r="C5" s="32" t="inlineStr">
        <is>
          <t>Not read</t>
        </is>
      </c>
      <c r="D5" s="31" t="inlineStr">
        <is>
          <t>2026-10-11</t>
        </is>
      </c>
      <c r="E5" s="31" t="inlineStr">
        <is>
          <t>Not readable: the page returned HTTP 403 (bot wall) on 2026-10-11. The Etsy values in this file come from Etsy's own Help Center articles E1-E5 instead.</t>
        </is>
      </c>
      <c r="F5" s="31" t="inlineStr">
        <is>
          <t>https://www.etsy.com/legal/fees</t>
        </is>
      </c>
    </row>
    <row r="6">
      <c r="A6" s="31" t="inlineStr">
        <is>
          <t>E1</t>
        </is>
      </c>
      <c r="B6" s="31" t="inlineStr">
        <is>
          <t>Etsy Help: Etsy Fee Basics</t>
        </is>
      </c>
      <c r="C6" s="31" t="inlineStr">
        <is>
          <t>Verified</t>
        </is>
      </c>
      <c r="D6" s="31" t="inlineStr">
        <is>
          <t>2026-10-11</t>
        </is>
      </c>
      <c r="E6" s="31" t="inlineStr">
        <is>
          <t>"The listing fee is a flat rate charge of $0.20 USD per listing." / "If you setup a listing to auto-renew and it's purchased, you'll be charged the standard $0.20 USD listing fee." / "Etsy charges 6.5% of the total order amount in your designated listing currency. This fee applies to the total cost of the item, along with shipping and gift wrap"</t>
        </is>
      </c>
      <c r="F6" s="31" t="inlineStr">
        <is>
          <t>https://help.etsy.com/hc/en-us/articles/360035902374-Etsy-Fee-Basics</t>
        </is>
      </c>
    </row>
    <row r="7">
      <c r="A7" s="31" t="inlineStr">
        <is>
          <t>E2</t>
        </is>
      </c>
      <c r="B7" s="31" t="inlineStr">
        <is>
          <t>Etsy Help: What are the Fees and Taxes for Selling on Etsy?</t>
        </is>
      </c>
      <c r="C7" s="31" t="inlineStr">
        <is>
          <t>Verified</t>
        </is>
      </c>
      <c r="D7" s="31" t="inlineStr">
        <is>
          <t>2026-10-11</t>
        </is>
      </c>
      <c r="E7" s="31" t="inlineStr">
        <is>
          <t>Offsite Ads: "If you made less than $10,000 on Etsy in the past 365 days, you'll be charged a 15% fee on the order total. If you made at least $10,000, you'll get a discounted fee of 12%. The Offsite Ad fee will never exceed $100 for an order" / Currency conversion: "A 2.5% fee is assessed when currency conversion is required." / Regulatory Operating fee: "Percentage is charged on your order total, which includes item price, shipping, and gift wrap (excludes tax collected by Etsy)."</t>
        </is>
      </c>
      <c r="F7" s="31" t="inlineStr">
        <is>
          <t>https://help.etsy.com/hc/en-us/articles/115014483627</t>
        </is>
      </c>
    </row>
    <row r="8">
      <c r="A8" s="31" t="inlineStr">
        <is>
          <t>E3</t>
        </is>
      </c>
      <c r="B8" s="31" t="inlineStr">
        <is>
          <t>Etsy Help: What are Payment Processing Fees for Selling on Etsy?</t>
        </is>
      </c>
      <c r="C8" s="31" t="inlineStr">
        <is>
          <t>Verified</t>
        </is>
      </c>
      <c r="D8" s="31" t="inlineStr">
        <is>
          <t>2026-10-11</t>
        </is>
      </c>
      <c r="E8" s="31" t="inlineStr">
        <is>
          <t>"The fees are taken from the item's total sale price, including its shipping fees, and any applicable sales tax." / "If you issue a refund ... your payment processing fee will be credited proportionally" / "Etsy Payments processing fees are subject to VAT." / Table: e.g. "United Kingdom 4% + 0.20 GBP", "Germany 4% + 0.30 EUR", "Denmark 4% + 2.50 DKK", "Sweden 4% + 3.00 SEK", "United States 3% + 0.25 USD"</t>
        </is>
      </c>
      <c r="F8" s="31" t="inlineStr">
        <is>
          <t>https://help.etsy.com/hc/en-us/articles/115015628847</t>
        </is>
      </c>
    </row>
    <row r="9">
      <c r="A9" s="31" t="inlineStr">
        <is>
          <t>E4</t>
        </is>
      </c>
      <c r="B9" s="31" t="inlineStr">
        <is>
          <t>Etsy Help: What is a Regulatory Operating Fee?</t>
        </is>
      </c>
      <c r="C9" s="31" t="inlineStr">
        <is>
          <t>Verified</t>
        </is>
      </c>
      <c r="D9" s="31" t="inlineStr">
        <is>
          <t>2026-10-11</t>
        </is>
      </c>
      <c r="E9" s="31" t="inlineStr">
        <is>
          <t>"charged on the item price plus shipping cost and gift wrap": Canada 0.50%, France 1.14%, Hungary 1.97%, Italy 0.80%, India 0.05%, Spain 0.88%, Türkiye 1.67%, United Kingdom 0.48%, Vietnam 1.24%</t>
        </is>
      </c>
      <c r="F9" s="31" t="inlineStr">
        <is>
          <t>https://help.etsy.com/hc/en-us/articles/1500011073202</t>
        </is>
      </c>
    </row>
    <row r="10">
      <c r="A10" s="31" t="inlineStr">
        <is>
          <t>E5</t>
        </is>
      </c>
      <c r="B10" s="31" t="inlineStr">
        <is>
          <t>Etsy Help: How VAT Is Collected on Seller Fees</t>
        </is>
      </c>
      <c r="C10" s="31" t="inlineStr">
        <is>
          <t>Verified</t>
        </is>
      </c>
      <c r="D10" s="31" t="inlineStr">
        <is>
          <t>2026-10-11</t>
        </is>
      </c>
      <c r="E10" s="31" t="inlineStr">
        <is>
          <t>"If you added your VAT ID to your Etsy account, you won't be charged." (shops in the EU excluding Ireland, the UK and others) / Ireland, Switzerland and others: "Etsy is required to charge VAT on applicable fees regardless of whether you've submitted a VAT ID". The article gives no VAT rate; the rate used is your country's standard rate (V1, V2).</t>
        </is>
      </c>
      <c r="F10" s="31" t="inlineStr">
        <is>
          <t>https://help.etsy.com/hc/en-us/articles/360040584433</t>
        </is>
      </c>
    </row>
    <row r="11">
      <c r="A11" s="31" t="inlineStr">
        <is>
          <t>S1</t>
        </is>
      </c>
      <c r="B11" s="31" t="inlineStr">
        <is>
          <t>Shopify pricing, United States (USD)</t>
        </is>
      </c>
      <c r="C11" s="31" t="inlineStr">
        <is>
          <t>Verified</t>
        </is>
      </c>
      <c r="D11" s="31" t="inlineStr">
        <is>
          <t>2026-10-11</t>
        </is>
      </c>
      <c r="E11" s="31" t="inlineStr">
        <is>
          <t>Online standard card rates: Basic "2.9% + 30¢", Grow "2.7% + 30¢", Advanced "2.5% + 30¢", Plus "2.25% + 30¢" / "Online international rates + 1%" / "Third-party transaction fees 2% | 1% | 0.6% | 0.2%" / Pay monthly $39 USD/mo (Basic)</t>
        </is>
      </c>
      <c r="F11" s="31" t="inlineStr">
        <is>
          <t>https://www.shopify.com/pricing</t>
        </is>
      </c>
    </row>
    <row r="12">
      <c r="A12" s="31" t="inlineStr">
        <is>
          <t>S2</t>
        </is>
      </c>
      <c r="B12" s="31" t="inlineStr">
        <is>
          <t>Shopify pricing, United Kingdom (GBP)</t>
        </is>
      </c>
      <c r="C12" s="31" t="inlineStr">
        <is>
          <t>Verified</t>
        </is>
      </c>
      <c r="D12" s="31" t="inlineStr">
        <is>
          <t>2026-10-11</t>
        </is>
      </c>
      <c r="E12" s="31" t="inlineStr">
        <is>
          <t>Online standard card rates "2% + 25p GBP | 1.7% + 25p GBP | 1.5% + 25p GBP | 1.3% + 25p GBP" / Online international rates "3.1% + 25p GBP | 2.7% + 25p GBP | 2.5% + 25p GBP | 2.3% + 25p GBP" / Third-party transaction fees "2% | 1% | 0.6% | 0.2%" / Pay monthly £25 GBP/mo (Basic)</t>
        </is>
      </c>
      <c r="F12" s="31" t="inlineStr">
        <is>
          <t>https://www.shopify.com/uk/pricing?country=gb&amp;lang=en</t>
        </is>
      </c>
    </row>
    <row r="13">
      <c r="A13" s="31" t="inlineStr">
        <is>
          <t>S3</t>
        </is>
      </c>
      <c r="B13" s="31" t="inlineStr">
        <is>
          <t>Shopify pricing, Ireland (EUR)</t>
        </is>
      </c>
      <c r="C13" s="31" t="inlineStr">
        <is>
          <t>Verified</t>
        </is>
      </c>
      <c r="D13" s="31" t="inlineStr">
        <is>
          <t>2026-10-11</t>
        </is>
      </c>
      <c r="E13" s="31" t="inlineStr">
        <is>
          <t>Online standard card rates "2% + €0.25 EUR excl. VAT | 1.7% + €0.25 EUR excl. VAT | 1.5% + €0.25 EUR excl. VAT | 1.4% + €0.25 EUR excl. VAT" / Online international rates "3.1% | 2.7% | 2.5% | 2.4% + €0.25 EUR excl. VAT" / Third-party transaction fees "2% | 1% | 0.6% | 0.2%" / Pay monthly €32 EUR/mo (Basic)</t>
        </is>
      </c>
      <c r="F13" s="31" t="inlineStr">
        <is>
          <t>https://www.shopify.com/ie/pricing?country=ie&amp;lang=en</t>
        </is>
      </c>
    </row>
    <row r="14">
      <c r="A14" s="31" t="inlineStr">
        <is>
          <t>S4</t>
        </is>
      </c>
      <c r="B14" s="31" t="inlineStr">
        <is>
          <t>Shopify pricing, other countries (DE, FR, ES, IT, NL and others)</t>
        </is>
      </c>
      <c r="C14" s="32" t="inlineStr">
        <is>
          <t>Check before use</t>
        </is>
      </c>
      <c r="D14" s="31" t="inlineStr">
        <is>
          <t>2026-10-11</t>
        </is>
      </c>
      <c r="E14" s="31" t="inlineStr">
        <is>
          <t>Not verified: the German, French, Spanish, Italian and Dutch pricing pages returned USD rates to our location, so their local Shopify Payments rates could not be read. Type your rate from your own Shopify pricing page into the yellow override cells.</t>
        </is>
      </c>
      <c r="F14" s="31" t="inlineStr">
        <is>
          <t>https://www.shopify.com/de/preise?country=de&amp;lang=de</t>
        </is>
      </c>
    </row>
    <row r="15">
      <c r="A15" s="31" t="inlineStr">
        <is>
          <t>S5</t>
        </is>
      </c>
      <c r="B15" s="31" t="inlineStr">
        <is>
          <t>Shopify Help: Fees and costs (currency conversion)</t>
        </is>
      </c>
      <c r="C15" s="31" t="inlineStr">
        <is>
          <t>Verified</t>
        </is>
      </c>
      <c r="D15" s="31" t="inlineStr">
        <is>
          <t>2026-10-11</t>
        </is>
      </c>
      <c r="E15" s="31" t="inlineStr">
        <is>
          <t>"Currency conversion fee | 1.5% (United States) | 2% (France) | 2% (All other Shopify Payments regions)" / "Currency conversion fees and credit card fees are not returned to you when you issue a refund"</t>
        </is>
      </c>
      <c r="F15" s="31" t="inlineStr">
        <is>
          <t>https://help.shopify.com/en/manual/international/pricing/fees</t>
        </is>
      </c>
    </row>
    <row r="16">
      <c r="A16" s="31" t="inlineStr">
        <is>
          <t>S6</t>
        </is>
      </c>
      <c r="B16" s="31" t="inlineStr">
        <is>
          <t>Shopify Help: Exporting orders (order CSV structure)</t>
        </is>
      </c>
      <c r="C16" s="31" t="inlineStr">
        <is>
          <t>Verified (documentation; not tested on a real store export)</t>
        </is>
      </c>
      <c r="D16" s="31" t="inlineStr">
        <is>
          <t>2026-10-11</t>
        </is>
      </c>
      <c r="E16" s="31" t="inlineStr">
        <is>
          <t>Headers used here: Name, Created at, Lineitem quantity, Lineitem price, Lineitem SKU, Shipping, Taxes, Discount Amount, Refunded Amount, Currency. "orders with multiple line items display their additional line items on separate lines. Many of the fields are left blank"</t>
        </is>
      </c>
      <c r="F16" s="31" t="inlineStr">
        <is>
          <t>https://help.shopify.com/en/manual/fulfillment/managing-orders/exporting-orders</t>
        </is>
      </c>
    </row>
    <row r="17">
      <c r="A17" s="31" t="inlineStr">
        <is>
          <t>V1</t>
        </is>
      </c>
      <c r="B17" s="31" t="inlineStr">
        <is>
          <t>Your Europe (European Union): VAT rules and rates</t>
        </is>
      </c>
      <c r="C17" s="31" t="inlineStr">
        <is>
          <t>Verified</t>
        </is>
      </c>
      <c r="D17" s="31" t="inlineStr">
        <is>
          <t>2026-10-11</t>
        </is>
      </c>
      <c r="E17" s="31" t="inlineStr">
        <is>
          <t>"List of VAT rates applied in EU member countries", standard rate column (page "Last checked: 13/07/2026"). The page itself says: "You should check the latest rates with the VAT authority of your country."</t>
        </is>
      </c>
      <c r="F17" s="31" t="inlineStr">
        <is>
          <t>https://europa.eu/youreurope/business/finance-and-tax/vat/vat-rules-rates/index_en.htm</t>
        </is>
      </c>
    </row>
    <row r="18">
      <c r="A18" s="31" t="inlineStr">
        <is>
          <t>V2</t>
        </is>
      </c>
      <c r="B18" s="31" t="inlineStr">
        <is>
          <t>GOV.UK: VAT rates</t>
        </is>
      </c>
      <c r="C18" s="31" t="inlineStr">
        <is>
          <t>Verified</t>
        </is>
      </c>
      <c r="D18" s="31" t="inlineStr">
        <is>
          <t>2026-10-11</t>
        </is>
      </c>
      <c r="E18" s="31" t="inlineStr">
        <is>
          <t>"The standard VAT rate is 20%"</t>
        </is>
      </c>
      <c r="F18" s="31" t="inlineStr">
        <is>
          <t>https://www.gov.uk/vat-rates</t>
        </is>
      </c>
    </row>
    <row r="19">
      <c r="A19" s="31" t="inlineStr">
        <is>
          <t>N1</t>
        </is>
      </c>
      <c r="B19" s="31" t="inlineStr">
        <is>
          <t>Not verified (no official source read)</t>
        </is>
      </c>
      <c r="C19" s="32" t="inlineStr">
        <is>
          <t>Check before use</t>
        </is>
      </c>
      <c r="D19" s="31" t="inlineStr">
        <is>
          <t>2026-10-11</t>
        </is>
      </c>
      <c r="E19" s="31" t="inlineStr">
        <is>
          <t>Whether Etsy credits back its 6.5% transaction fee on a refund (default here: 0%, set your own); Etsy's order CSV export format (no Etsy import is offered); Shopify Payments rates outside the UK, Ireland and US; how Shopify's Subtotal behaves in stores whose prices include tax.</t>
        </is>
      </c>
      <c r="F19" s="31" t="inlineStr"/>
    </row>
    <row r="21">
      <c r="A21" s="30" t="inlineStr">
        <is>
          <t>Fees change. The green defaults are what the platforms published on the date above; check your own platform fee pages and type any different rate into the yellow override cells.</t>
        </is>
      </c>
    </row>
    <row r="22">
      <c r="A22" s="30" t="inlineStr">
        <is>
          <t>Lite version: rates for Shopify Payments only; the full version adds third-party providers, currency conversion fees and more.</t>
        </is>
      </c>
    </row>
    <row r="23">
      <c r="A23" s="22" t="inlineStr">
        <is>
          <t>Independent product by XNDR Ventures (XNDR, SLU). Not affiliated with or endorsed by Etsy, Inc. or Shopify Inc. Etsy and Shopify are trademarks of their owners.</t>
        </is>
      </c>
    </row>
    <row r="24">
      <c r="A24" s="22" t="inlineStr">
        <is>
          <t>Licence: one business may use this file; don't resell or redistribute it.</t>
        </is>
      </c>
    </row>
    <row r="26">
      <c r="A26" s="4" t="inlineStr">
        <is>
          <t>Rate tables used by the formulas (published defaults, locked)</t>
        </is>
      </c>
    </row>
    <row r="27">
      <c r="A27" s="5" t="inlineStr">
        <is>
          <t>Country (bank account / store)</t>
        </is>
      </c>
      <c r="B27" s="5" t="inlineStr">
        <is>
          <t>Etsy processing %</t>
        </is>
      </c>
      <c r="C27" s="5" t="inlineStr">
        <is>
          <t>Etsy fixed fee</t>
        </is>
      </c>
      <c r="D27" s="5" t="inlineStr">
        <is>
          <t>Fixed fee currency</t>
        </is>
      </c>
      <c r="E27" s="5" t="inlineStr">
        <is>
          <t>Etsy regulatory fee %</t>
        </is>
      </c>
      <c r="F27" s="5" t="inlineStr">
        <is>
          <t>Standard VAT %</t>
        </is>
      </c>
      <c r="G27" s="5" t="inlineStr">
        <is>
          <t>Shopify rate table</t>
        </is>
      </c>
      <c r="H27" s="5" t="inlineStr">
        <is>
          <t>VAT source</t>
        </is>
      </c>
      <c r="I27" s="5" t="inlineStr">
        <is>
          <t>Etsy source</t>
        </is>
      </c>
    </row>
    <row r="28">
      <c r="A28" s="33" t="inlineStr">
        <is>
          <t>Austria</t>
        </is>
      </c>
      <c r="B28" s="34" t="n">
        <v>0.04</v>
      </c>
      <c r="C28" s="35" t="n">
        <v>0.3</v>
      </c>
      <c r="D28" s="33" t="inlineStr">
        <is>
          <t>EUR</t>
        </is>
      </c>
      <c r="E28" s="34" t="n">
        <v>0</v>
      </c>
      <c r="F28" s="34" t="n">
        <v>0.2</v>
      </c>
      <c r="G28" s="33" t="inlineStr">
        <is>
          <t>Other</t>
        </is>
      </c>
      <c r="H28" s="33" t="inlineStr">
        <is>
          <t>V1</t>
        </is>
      </c>
      <c r="I28" s="33" t="inlineStr">
        <is>
          <t>E3, E4</t>
        </is>
      </c>
    </row>
    <row r="29">
      <c r="A29" s="33" t="inlineStr">
        <is>
          <t>Belgium</t>
        </is>
      </c>
      <c r="B29" s="34" t="n">
        <v>0.04</v>
      </c>
      <c r="C29" s="35" t="n">
        <v>0.3</v>
      </c>
      <c r="D29" s="33" t="inlineStr">
        <is>
          <t>EUR</t>
        </is>
      </c>
      <c r="E29" s="34" t="n">
        <v>0</v>
      </c>
      <c r="F29" s="34" t="n">
        <v>0.21</v>
      </c>
      <c r="G29" s="33" t="inlineStr">
        <is>
          <t>Other</t>
        </is>
      </c>
      <c r="H29" s="33" t="inlineStr">
        <is>
          <t>V1</t>
        </is>
      </c>
      <c r="I29" s="33" t="inlineStr">
        <is>
          <t>E3, E4</t>
        </is>
      </c>
    </row>
    <row r="30">
      <c r="A30" s="33" t="inlineStr">
        <is>
          <t>Bulgaria</t>
        </is>
      </c>
      <c r="B30" s="34" t="n">
        <v>0.04</v>
      </c>
      <c r="C30" s="35" t="n">
        <v>0.3</v>
      </c>
      <c r="D30" s="33" t="inlineStr">
        <is>
          <t>EUR</t>
        </is>
      </c>
      <c r="E30" s="34" t="n">
        <v>0</v>
      </c>
      <c r="F30" s="34" t="n">
        <v>0.2</v>
      </c>
      <c r="G30" s="33" t="inlineStr">
        <is>
          <t>Other</t>
        </is>
      </c>
      <c r="H30" s="33" t="inlineStr">
        <is>
          <t>V1</t>
        </is>
      </c>
      <c r="I30" s="33" t="inlineStr">
        <is>
          <t>E3, E4</t>
        </is>
      </c>
    </row>
    <row r="31">
      <c r="A31" s="33" t="inlineStr">
        <is>
          <t>Croatia</t>
        </is>
      </c>
      <c r="B31" s="34" t="n">
        <v>0.04</v>
      </c>
      <c r="C31" s="35" t="n">
        <v>0.3</v>
      </c>
      <c r="D31" s="33" t="inlineStr">
        <is>
          <t>EUR</t>
        </is>
      </c>
      <c r="E31" s="34" t="n">
        <v>0</v>
      </c>
      <c r="F31" s="34" t="n">
        <v>0.25</v>
      </c>
      <c r="G31" s="33" t="inlineStr">
        <is>
          <t>Other</t>
        </is>
      </c>
      <c r="H31" s="33" t="inlineStr">
        <is>
          <t>V1</t>
        </is>
      </c>
      <c r="I31" s="33" t="inlineStr">
        <is>
          <t>E3, E4</t>
        </is>
      </c>
    </row>
    <row r="32">
      <c r="A32" s="33" t="inlineStr">
        <is>
          <t>Cyprus</t>
        </is>
      </c>
      <c r="B32" s="34" t="n">
        <v>0.04</v>
      </c>
      <c r="C32" s="35" t="n">
        <v>0.3</v>
      </c>
      <c r="D32" s="33" t="inlineStr">
        <is>
          <t>EUR</t>
        </is>
      </c>
      <c r="E32" s="34" t="n">
        <v>0</v>
      </c>
      <c r="F32" s="34" t="n">
        <v>0.19</v>
      </c>
      <c r="G32" s="33" t="inlineStr">
        <is>
          <t>Other</t>
        </is>
      </c>
      <c r="H32" s="33" t="inlineStr">
        <is>
          <t>V1</t>
        </is>
      </c>
      <c r="I32" s="33" t="inlineStr">
        <is>
          <t>E3, E4</t>
        </is>
      </c>
    </row>
    <row r="33">
      <c r="A33" s="33" t="inlineStr">
        <is>
          <t>Czech Republic</t>
        </is>
      </c>
      <c r="B33" s="34" t="n">
        <v>0.04</v>
      </c>
      <c r="C33" s="35" t="n">
        <v>0.3</v>
      </c>
      <c r="D33" s="33" t="inlineStr">
        <is>
          <t>EUR</t>
        </is>
      </c>
      <c r="E33" s="34" t="n">
        <v>0</v>
      </c>
      <c r="F33" s="34" t="n">
        <v>0.21</v>
      </c>
      <c r="G33" s="33" t="inlineStr">
        <is>
          <t>Other</t>
        </is>
      </c>
      <c r="H33" s="33" t="inlineStr">
        <is>
          <t>V1</t>
        </is>
      </c>
      <c r="I33" s="33" t="inlineStr">
        <is>
          <t>E3, E4</t>
        </is>
      </c>
    </row>
    <row r="34">
      <c r="A34" s="33" t="inlineStr">
        <is>
          <t>Denmark</t>
        </is>
      </c>
      <c r="B34" s="34" t="n">
        <v>0.04</v>
      </c>
      <c r="C34" s="35" t="n">
        <v>2.5</v>
      </c>
      <c r="D34" s="33" t="inlineStr">
        <is>
          <t>DKK</t>
        </is>
      </c>
      <c r="E34" s="34" t="n">
        <v>0</v>
      </c>
      <c r="F34" s="34" t="n">
        <v>0.25</v>
      </c>
      <c r="G34" s="33" t="inlineStr">
        <is>
          <t>Other</t>
        </is>
      </c>
      <c r="H34" s="33" t="inlineStr">
        <is>
          <t>V1</t>
        </is>
      </c>
      <c r="I34" s="33" t="inlineStr">
        <is>
          <t>E3, E4</t>
        </is>
      </c>
    </row>
    <row r="35">
      <c r="A35" s="33" t="inlineStr">
        <is>
          <t>Estonia</t>
        </is>
      </c>
      <c r="B35" s="34" t="n">
        <v>0.04</v>
      </c>
      <c r="C35" s="35" t="n">
        <v>0.3</v>
      </c>
      <c r="D35" s="33" t="inlineStr">
        <is>
          <t>EUR</t>
        </is>
      </c>
      <c r="E35" s="34" t="n">
        <v>0</v>
      </c>
      <c r="F35" s="34" t="n">
        <v>0.24</v>
      </c>
      <c r="G35" s="33" t="inlineStr">
        <is>
          <t>Other</t>
        </is>
      </c>
      <c r="H35" s="33" t="inlineStr">
        <is>
          <t>V1</t>
        </is>
      </c>
      <c r="I35" s="33" t="inlineStr">
        <is>
          <t>E3, E4</t>
        </is>
      </c>
    </row>
    <row r="36">
      <c r="A36" s="33" t="inlineStr">
        <is>
          <t>Finland</t>
        </is>
      </c>
      <c r="B36" s="34" t="n">
        <v>0.04</v>
      </c>
      <c r="C36" s="35" t="n">
        <v>0.3</v>
      </c>
      <c r="D36" s="33" t="inlineStr">
        <is>
          <t>EUR</t>
        </is>
      </c>
      <c r="E36" s="34" t="n">
        <v>0</v>
      </c>
      <c r="F36" s="34" t="n">
        <v>0.255</v>
      </c>
      <c r="G36" s="33" t="inlineStr">
        <is>
          <t>Other</t>
        </is>
      </c>
      <c r="H36" s="33" t="inlineStr">
        <is>
          <t>V1</t>
        </is>
      </c>
      <c r="I36" s="33" t="inlineStr">
        <is>
          <t>E3, E4</t>
        </is>
      </c>
    </row>
    <row r="37">
      <c r="A37" s="33" t="inlineStr">
        <is>
          <t>France</t>
        </is>
      </c>
      <c r="B37" s="34" t="n">
        <v>0.04</v>
      </c>
      <c r="C37" s="35" t="n">
        <v>0.3</v>
      </c>
      <c r="D37" s="33" t="inlineStr">
        <is>
          <t>EUR</t>
        </is>
      </c>
      <c r="E37" s="34" t="n">
        <v>0.0114</v>
      </c>
      <c r="F37" s="34" t="n">
        <v>0.2</v>
      </c>
      <c r="G37" s="33" t="inlineStr">
        <is>
          <t>Other</t>
        </is>
      </c>
      <c r="H37" s="33" t="inlineStr">
        <is>
          <t>V1</t>
        </is>
      </c>
      <c r="I37" s="33" t="inlineStr">
        <is>
          <t>E3, E4</t>
        </is>
      </c>
    </row>
    <row r="38">
      <c r="A38" s="33" t="inlineStr">
        <is>
          <t>Germany</t>
        </is>
      </c>
      <c r="B38" s="34" t="n">
        <v>0.04</v>
      </c>
      <c r="C38" s="35" t="n">
        <v>0.3</v>
      </c>
      <c r="D38" s="33" t="inlineStr">
        <is>
          <t>EUR</t>
        </is>
      </c>
      <c r="E38" s="34" t="n">
        <v>0</v>
      </c>
      <c r="F38" s="34" t="n">
        <v>0.19</v>
      </c>
      <c r="G38" s="33" t="inlineStr">
        <is>
          <t>Other</t>
        </is>
      </c>
      <c r="H38" s="33" t="inlineStr">
        <is>
          <t>V1</t>
        </is>
      </c>
      <c r="I38" s="33" t="inlineStr">
        <is>
          <t>E3, E4</t>
        </is>
      </c>
    </row>
    <row r="39">
      <c r="A39" s="33" t="inlineStr">
        <is>
          <t>Greece</t>
        </is>
      </c>
      <c r="B39" s="34" t="n">
        <v>0.04</v>
      </c>
      <c r="C39" s="35" t="n">
        <v>0.3</v>
      </c>
      <c r="D39" s="33" t="inlineStr">
        <is>
          <t>EUR</t>
        </is>
      </c>
      <c r="E39" s="34" t="n">
        <v>0</v>
      </c>
      <c r="F39" s="34" t="n">
        <v>0.24</v>
      </c>
      <c r="G39" s="33" t="inlineStr">
        <is>
          <t>Other</t>
        </is>
      </c>
      <c r="H39" s="33" t="inlineStr">
        <is>
          <t>V1</t>
        </is>
      </c>
      <c r="I39" s="33" t="inlineStr">
        <is>
          <t>E3, E4</t>
        </is>
      </c>
    </row>
    <row r="40">
      <c r="A40" s="33" t="inlineStr">
        <is>
          <t>Hungary</t>
        </is>
      </c>
      <c r="B40" s="34" t="n">
        <v>0.04</v>
      </c>
      <c r="C40" s="35" t="n">
        <v>0.3</v>
      </c>
      <c r="D40" s="33" t="inlineStr">
        <is>
          <t>EUR</t>
        </is>
      </c>
      <c r="E40" s="34" t="n">
        <v>0.0197</v>
      </c>
      <c r="F40" s="34" t="n">
        <v>0.27</v>
      </c>
      <c r="G40" s="33" t="inlineStr">
        <is>
          <t>Other</t>
        </is>
      </c>
      <c r="H40" s="33" t="inlineStr">
        <is>
          <t>V1</t>
        </is>
      </c>
      <c r="I40" s="33" t="inlineStr">
        <is>
          <t>E3, E4</t>
        </is>
      </c>
    </row>
    <row r="41">
      <c r="A41" s="33" t="inlineStr">
        <is>
          <t>Ireland</t>
        </is>
      </c>
      <c r="B41" s="34" t="n">
        <v>0.04</v>
      </c>
      <c r="C41" s="35" t="n">
        <v>0.3</v>
      </c>
      <c r="D41" s="33" t="inlineStr">
        <is>
          <t>EUR</t>
        </is>
      </c>
      <c r="E41" s="34" t="n">
        <v>0</v>
      </c>
      <c r="F41" s="34" t="n">
        <v>0.23</v>
      </c>
      <c r="G41" s="33" t="inlineStr">
        <is>
          <t>Ireland</t>
        </is>
      </c>
      <c r="H41" s="33" t="inlineStr">
        <is>
          <t>V1</t>
        </is>
      </c>
      <c r="I41" s="33" t="inlineStr">
        <is>
          <t>E3, E4</t>
        </is>
      </c>
    </row>
    <row r="42">
      <c r="A42" s="33" t="inlineStr">
        <is>
          <t>Italy</t>
        </is>
      </c>
      <c r="B42" s="34" t="n">
        <v>0.04</v>
      </c>
      <c r="C42" s="35" t="n">
        <v>0.3</v>
      </c>
      <c r="D42" s="33" t="inlineStr">
        <is>
          <t>EUR</t>
        </is>
      </c>
      <c r="E42" s="34" t="n">
        <v>0.008</v>
      </c>
      <c r="F42" s="34" t="n">
        <v>0.22</v>
      </c>
      <c r="G42" s="33" t="inlineStr">
        <is>
          <t>Other</t>
        </is>
      </c>
      <c r="H42" s="33" t="inlineStr">
        <is>
          <t>V1</t>
        </is>
      </c>
      <c r="I42" s="33" t="inlineStr">
        <is>
          <t>E3, E4</t>
        </is>
      </c>
    </row>
    <row r="43">
      <c r="A43" s="33" t="inlineStr">
        <is>
          <t>Latvia</t>
        </is>
      </c>
      <c r="B43" s="34" t="n">
        <v>0.04</v>
      </c>
      <c r="C43" s="35" t="n">
        <v>0.3</v>
      </c>
      <c r="D43" s="33" t="inlineStr">
        <is>
          <t>EUR</t>
        </is>
      </c>
      <c r="E43" s="34" t="n">
        <v>0</v>
      </c>
      <c r="F43" s="34" t="n">
        <v>0.21</v>
      </c>
      <c r="G43" s="33" t="inlineStr">
        <is>
          <t>Other</t>
        </is>
      </c>
      <c r="H43" s="33" t="inlineStr">
        <is>
          <t>V1</t>
        </is>
      </c>
      <c r="I43" s="33" t="inlineStr">
        <is>
          <t>E3, E4</t>
        </is>
      </c>
    </row>
    <row r="44">
      <c r="A44" s="33" t="inlineStr">
        <is>
          <t>Lithuania</t>
        </is>
      </c>
      <c r="B44" s="34" t="n">
        <v>0.04</v>
      </c>
      <c r="C44" s="35" t="n">
        <v>0.3</v>
      </c>
      <c r="D44" s="33" t="inlineStr">
        <is>
          <t>EUR</t>
        </is>
      </c>
      <c r="E44" s="34" t="n">
        <v>0</v>
      </c>
      <c r="F44" s="34" t="n">
        <v>0.21</v>
      </c>
      <c r="G44" s="33" t="inlineStr">
        <is>
          <t>Other</t>
        </is>
      </c>
      <c r="H44" s="33" t="inlineStr">
        <is>
          <t>V1</t>
        </is>
      </c>
      <c r="I44" s="33" t="inlineStr">
        <is>
          <t>E3, E4</t>
        </is>
      </c>
    </row>
    <row r="45">
      <c r="A45" s="33" t="inlineStr">
        <is>
          <t>Luxembourg</t>
        </is>
      </c>
      <c r="B45" s="34" t="n">
        <v>0.04</v>
      </c>
      <c r="C45" s="35" t="n">
        <v>0.3</v>
      </c>
      <c r="D45" s="33" t="inlineStr">
        <is>
          <t>EUR</t>
        </is>
      </c>
      <c r="E45" s="34" t="n">
        <v>0</v>
      </c>
      <c r="F45" s="34" t="n">
        <v>0.17</v>
      </c>
      <c r="G45" s="33" t="inlineStr">
        <is>
          <t>Other</t>
        </is>
      </c>
      <c r="H45" s="33" t="inlineStr">
        <is>
          <t>V1</t>
        </is>
      </c>
      <c r="I45" s="33" t="inlineStr">
        <is>
          <t>E3, E4</t>
        </is>
      </c>
    </row>
    <row r="46">
      <c r="A46" s="33" t="inlineStr">
        <is>
          <t>Malta</t>
        </is>
      </c>
      <c r="B46" s="34" t="n">
        <v>0.04</v>
      </c>
      <c r="C46" s="35" t="n">
        <v>0.3</v>
      </c>
      <c r="D46" s="33" t="inlineStr">
        <is>
          <t>EUR</t>
        </is>
      </c>
      <c r="E46" s="34" t="n">
        <v>0</v>
      </c>
      <c r="F46" s="34" t="n">
        <v>0.18</v>
      </c>
      <c r="G46" s="33" t="inlineStr">
        <is>
          <t>Other</t>
        </is>
      </c>
      <c r="H46" s="33" t="inlineStr">
        <is>
          <t>V1</t>
        </is>
      </c>
      <c r="I46" s="33" t="inlineStr">
        <is>
          <t>E3, E4</t>
        </is>
      </c>
    </row>
    <row r="47">
      <c r="A47" s="33" t="inlineStr">
        <is>
          <t>Netherlands</t>
        </is>
      </c>
      <c r="B47" s="34" t="n">
        <v>0.04</v>
      </c>
      <c r="C47" s="35" t="n">
        <v>0.3</v>
      </c>
      <c r="D47" s="33" t="inlineStr">
        <is>
          <t>EUR</t>
        </is>
      </c>
      <c r="E47" s="34" t="n">
        <v>0</v>
      </c>
      <c r="F47" s="34" t="n">
        <v>0.21</v>
      </c>
      <c r="G47" s="33" t="inlineStr">
        <is>
          <t>Other</t>
        </is>
      </c>
      <c r="H47" s="33" t="inlineStr">
        <is>
          <t>V1</t>
        </is>
      </c>
      <c r="I47" s="33" t="inlineStr">
        <is>
          <t>E3, E4</t>
        </is>
      </c>
    </row>
    <row r="48">
      <c r="A48" s="33" t="inlineStr">
        <is>
          <t>Poland</t>
        </is>
      </c>
      <c r="B48" s="34" t="n">
        <v>0.04</v>
      </c>
      <c r="C48" s="35" t="n">
        <v>0.3</v>
      </c>
      <c r="D48" s="33" t="inlineStr">
        <is>
          <t>EUR</t>
        </is>
      </c>
      <c r="E48" s="34" t="n">
        <v>0</v>
      </c>
      <c r="F48" s="34" t="n">
        <v>0.23</v>
      </c>
      <c r="G48" s="33" t="inlineStr">
        <is>
          <t>Other</t>
        </is>
      </c>
      <c r="H48" s="33" t="inlineStr">
        <is>
          <t>V1</t>
        </is>
      </c>
      <c r="I48" s="33" t="inlineStr">
        <is>
          <t>E3, E4</t>
        </is>
      </c>
    </row>
    <row r="49">
      <c r="A49" s="33" t="inlineStr">
        <is>
          <t>Portugal</t>
        </is>
      </c>
      <c r="B49" s="34" t="n">
        <v>0.04</v>
      </c>
      <c r="C49" s="35" t="n">
        <v>0.3</v>
      </c>
      <c r="D49" s="33" t="inlineStr">
        <is>
          <t>EUR</t>
        </is>
      </c>
      <c r="E49" s="34" t="n">
        <v>0</v>
      </c>
      <c r="F49" s="34" t="n">
        <v>0.23</v>
      </c>
      <c r="G49" s="33" t="inlineStr">
        <is>
          <t>Other</t>
        </is>
      </c>
      <c r="H49" s="33" t="inlineStr">
        <is>
          <t>V1</t>
        </is>
      </c>
      <c r="I49" s="33" t="inlineStr">
        <is>
          <t>E3, E4</t>
        </is>
      </c>
    </row>
    <row r="50">
      <c r="A50" s="33" t="inlineStr">
        <is>
          <t>Romania</t>
        </is>
      </c>
      <c r="B50" s="34" t="n">
        <v>0.04</v>
      </c>
      <c r="C50" s="35" t="n">
        <v>0.3</v>
      </c>
      <c r="D50" s="33" t="inlineStr">
        <is>
          <t>EUR</t>
        </is>
      </c>
      <c r="E50" s="34" t="n">
        <v>0</v>
      </c>
      <c r="F50" s="34" t="n">
        <v>0.21</v>
      </c>
      <c r="G50" s="33" t="inlineStr">
        <is>
          <t>Other</t>
        </is>
      </c>
      <c r="H50" s="33" t="inlineStr">
        <is>
          <t>V1</t>
        </is>
      </c>
      <c r="I50" s="33" t="inlineStr">
        <is>
          <t>E3, E4</t>
        </is>
      </c>
    </row>
    <row r="51">
      <c r="A51" s="33" t="inlineStr">
        <is>
          <t>Slovakia</t>
        </is>
      </c>
      <c r="B51" s="34" t="n">
        <v>0.04</v>
      </c>
      <c r="C51" s="35" t="n">
        <v>0.3</v>
      </c>
      <c r="D51" s="33" t="inlineStr">
        <is>
          <t>EUR</t>
        </is>
      </c>
      <c r="E51" s="34" t="n">
        <v>0</v>
      </c>
      <c r="F51" s="34" t="n">
        <v>0.23</v>
      </c>
      <c r="G51" s="33" t="inlineStr">
        <is>
          <t>Other</t>
        </is>
      </c>
      <c r="H51" s="33" t="inlineStr">
        <is>
          <t>V1</t>
        </is>
      </c>
      <c r="I51" s="33" t="inlineStr">
        <is>
          <t>E3, E4</t>
        </is>
      </c>
    </row>
    <row r="52">
      <c r="A52" s="33" t="inlineStr">
        <is>
          <t>Slovenia</t>
        </is>
      </c>
      <c r="B52" s="34" t="n">
        <v>0.04</v>
      </c>
      <c r="C52" s="35" t="n">
        <v>0.3</v>
      </c>
      <c r="D52" s="33" t="inlineStr">
        <is>
          <t>EUR</t>
        </is>
      </c>
      <c r="E52" s="34" t="n">
        <v>0</v>
      </c>
      <c r="F52" s="34" t="n">
        <v>0.22</v>
      </c>
      <c r="G52" s="33" t="inlineStr">
        <is>
          <t>Other</t>
        </is>
      </c>
      <c r="H52" s="33" t="inlineStr">
        <is>
          <t>V1</t>
        </is>
      </c>
      <c r="I52" s="33" t="inlineStr">
        <is>
          <t>E3, E4</t>
        </is>
      </c>
    </row>
    <row r="53">
      <c r="A53" s="33" t="inlineStr">
        <is>
          <t>Spain</t>
        </is>
      </c>
      <c r="B53" s="34" t="n">
        <v>0.04</v>
      </c>
      <c r="C53" s="35" t="n">
        <v>0.3</v>
      </c>
      <c r="D53" s="33" t="inlineStr">
        <is>
          <t>EUR</t>
        </is>
      </c>
      <c r="E53" s="34" t="n">
        <v>0.008800000000000001</v>
      </c>
      <c r="F53" s="34" t="n">
        <v>0.21</v>
      </c>
      <c r="G53" s="33" t="inlineStr">
        <is>
          <t>Other</t>
        </is>
      </c>
      <c r="H53" s="33" t="inlineStr">
        <is>
          <t>V1</t>
        </is>
      </c>
      <c r="I53" s="33" t="inlineStr">
        <is>
          <t>E3, E4</t>
        </is>
      </c>
    </row>
    <row r="54">
      <c r="A54" s="33" t="inlineStr">
        <is>
          <t>Sweden</t>
        </is>
      </c>
      <c r="B54" s="34" t="n">
        <v>0.04</v>
      </c>
      <c r="C54" s="35" t="n">
        <v>3</v>
      </c>
      <c r="D54" s="33" t="inlineStr">
        <is>
          <t>SEK</t>
        </is>
      </c>
      <c r="E54" s="34" t="n">
        <v>0</v>
      </c>
      <c r="F54" s="34" t="n">
        <v>0.25</v>
      </c>
      <c r="G54" s="33" t="inlineStr">
        <is>
          <t>Other</t>
        </is>
      </c>
      <c r="H54" s="33" t="inlineStr">
        <is>
          <t>V1</t>
        </is>
      </c>
      <c r="I54" s="33" t="inlineStr">
        <is>
          <t>E3, E4</t>
        </is>
      </c>
    </row>
    <row r="55">
      <c r="A55" s="33" t="inlineStr">
        <is>
          <t>United Kingdom</t>
        </is>
      </c>
      <c r="B55" s="34" t="n">
        <v>0.04</v>
      </c>
      <c r="C55" s="35" t="n">
        <v>0.2</v>
      </c>
      <c r="D55" s="33" t="inlineStr">
        <is>
          <t>GBP</t>
        </is>
      </c>
      <c r="E55" s="34" t="n">
        <v>0.0048</v>
      </c>
      <c r="F55" s="34" t="n">
        <v>0.2</v>
      </c>
      <c r="G55" s="33" t="inlineStr">
        <is>
          <t>United Kingdom</t>
        </is>
      </c>
      <c r="H55" s="33" t="inlineStr">
        <is>
          <t>V2</t>
        </is>
      </c>
      <c r="I55" s="33" t="inlineStr">
        <is>
          <t>E3, E4</t>
        </is>
      </c>
    </row>
    <row r="56">
      <c r="A56" s="33" t="inlineStr">
        <is>
          <t>United States</t>
        </is>
      </c>
      <c r="B56" s="34" t="n">
        <v>0.03</v>
      </c>
      <c r="C56" s="35" t="n">
        <v>0.25</v>
      </c>
      <c r="D56" s="33" t="inlineStr">
        <is>
          <t>USD</t>
        </is>
      </c>
      <c r="E56" s="34" t="n">
        <v>0</v>
      </c>
      <c r="F56" s="34" t="n"/>
      <c r="G56" s="33" t="inlineStr">
        <is>
          <t>United States</t>
        </is>
      </c>
      <c r="H56" s="33" t="inlineStr"/>
      <c r="I56" s="33" t="inlineStr">
        <is>
          <t>E3, E4</t>
        </is>
      </c>
    </row>
    <row r="59">
      <c r="A59" s="5" t="inlineStr">
        <is>
          <t>Key</t>
        </is>
      </c>
      <c r="B59" s="5" t="inlineStr">
        <is>
          <t>Rate table</t>
        </is>
      </c>
      <c r="C59" s="5" t="inlineStr">
        <is>
          <t>Plan</t>
        </is>
      </c>
      <c r="D59" s="5" t="inlineStr">
        <is>
          <t>Standard online card %</t>
        </is>
      </c>
      <c r="E59" s="5" t="inlineStr">
        <is>
          <t>International card %</t>
        </is>
      </c>
      <c r="F59" s="5" t="inlineStr">
        <is>
          <t>Fixed fee</t>
        </is>
      </c>
      <c r="G59" s="5" t="inlineStr">
        <is>
          <t>Currency</t>
        </is>
      </c>
      <c r="H59" s="5" t="inlineStr">
        <is>
          <t>Source</t>
        </is>
      </c>
    </row>
    <row r="60">
      <c r="A60" s="33" t="inlineStr">
        <is>
          <t>United Kingdom|Basic</t>
        </is>
      </c>
      <c r="B60" s="33" t="inlineStr">
        <is>
          <t>United Kingdom</t>
        </is>
      </c>
      <c r="C60" s="33" t="inlineStr">
        <is>
          <t>Basic</t>
        </is>
      </c>
      <c r="D60" s="34" t="n">
        <v>0.02</v>
      </c>
      <c r="E60" s="34" t="n">
        <v>0.031</v>
      </c>
      <c r="F60" s="35" t="n">
        <v>0.25</v>
      </c>
      <c r="G60" s="33" t="inlineStr">
        <is>
          <t>GBP</t>
        </is>
      </c>
      <c r="H60" s="33" t="inlineStr">
        <is>
          <t>S2</t>
        </is>
      </c>
    </row>
    <row r="61">
      <c r="A61" s="33" t="inlineStr">
        <is>
          <t>United Kingdom|Grow</t>
        </is>
      </c>
      <c r="B61" s="33" t="inlineStr">
        <is>
          <t>United Kingdom</t>
        </is>
      </c>
      <c r="C61" s="33" t="inlineStr">
        <is>
          <t>Grow</t>
        </is>
      </c>
      <c r="D61" s="34" t="n">
        <v>0.017</v>
      </c>
      <c r="E61" s="34" t="n">
        <v>0.027</v>
      </c>
      <c r="F61" s="35" t="n">
        <v>0.25</v>
      </c>
      <c r="G61" s="33" t="inlineStr">
        <is>
          <t>GBP</t>
        </is>
      </c>
      <c r="H61" s="33" t="inlineStr">
        <is>
          <t>S2</t>
        </is>
      </c>
    </row>
    <row r="62">
      <c r="A62" s="33" t="inlineStr">
        <is>
          <t>United Kingdom|Advanced</t>
        </is>
      </c>
      <c r="B62" s="33" t="inlineStr">
        <is>
          <t>United Kingdom</t>
        </is>
      </c>
      <c r="C62" s="33" t="inlineStr">
        <is>
          <t>Advanced</t>
        </is>
      </c>
      <c r="D62" s="34" t="n">
        <v>0.015</v>
      </c>
      <c r="E62" s="34" t="n">
        <v>0.025</v>
      </c>
      <c r="F62" s="35" t="n">
        <v>0.25</v>
      </c>
      <c r="G62" s="33" t="inlineStr">
        <is>
          <t>GBP</t>
        </is>
      </c>
      <c r="H62" s="33" t="inlineStr">
        <is>
          <t>S2</t>
        </is>
      </c>
    </row>
    <row r="63">
      <c r="A63" s="33" t="inlineStr">
        <is>
          <t>United Kingdom|Plus</t>
        </is>
      </c>
      <c r="B63" s="33" t="inlineStr">
        <is>
          <t>United Kingdom</t>
        </is>
      </c>
      <c r="C63" s="33" t="inlineStr">
        <is>
          <t>Plus</t>
        </is>
      </c>
      <c r="D63" s="34" t="n">
        <v>0.013</v>
      </c>
      <c r="E63" s="34" t="n">
        <v>0.023</v>
      </c>
      <c r="F63" s="35" t="n">
        <v>0.25</v>
      </c>
      <c r="G63" s="33" t="inlineStr">
        <is>
          <t>GBP</t>
        </is>
      </c>
      <c r="H63" s="33" t="inlineStr">
        <is>
          <t>S2</t>
        </is>
      </c>
    </row>
    <row r="64">
      <c r="A64" s="33" t="inlineStr">
        <is>
          <t>Ireland|Basic</t>
        </is>
      </c>
      <c r="B64" s="33" t="inlineStr">
        <is>
          <t>Ireland</t>
        </is>
      </c>
      <c r="C64" s="33" t="inlineStr">
        <is>
          <t>Basic</t>
        </is>
      </c>
      <c r="D64" s="34" t="n">
        <v>0.02</v>
      </c>
      <c r="E64" s="34" t="n">
        <v>0.031</v>
      </c>
      <c r="F64" s="35" t="n">
        <v>0.25</v>
      </c>
      <c r="G64" s="33" t="inlineStr">
        <is>
          <t>EUR</t>
        </is>
      </c>
      <c r="H64" s="33" t="inlineStr">
        <is>
          <t>S3</t>
        </is>
      </c>
    </row>
    <row r="65">
      <c r="A65" s="33" t="inlineStr">
        <is>
          <t>Ireland|Grow</t>
        </is>
      </c>
      <c r="B65" s="33" t="inlineStr">
        <is>
          <t>Ireland</t>
        </is>
      </c>
      <c r="C65" s="33" t="inlineStr">
        <is>
          <t>Grow</t>
        </is>
      </c>
      <c r="D65" s="34" t="n">
        <v>0.017</v>
      </c>
      <c r="E65" s="34" t="n">
        <v>0.027</v>
      </c>
      <c r="F65" s="35" t="n">
        <v>0.25</v>
      </c>
      <c r="G65" s="33" t="inlineStr">
        <is>
          <t>EUR</t>
        </is>
      </c>
      <c r="H65" s="33" t="inlineStr">
        <is>
          <t>S3</t>
        </is>
      </c>
    </row>
    <row r="66">
      <c r="A66" s="33" t="inlineStr">
        <is>
          <t>Ireland|Advanced</t>
        </is>
      </c>
      <c r="B66" s="33" t="inlineStr">
        <is>
          <t>Ireland</t>
        </is>
      </c>
      <c r="C66" s="33" t="inlineStr">
        <is>
          <t>Advanced</t>
        </is>
      </c>
      <c r="D66" s="34" t="n">
        <v>0.015</v>
      </c>
      <c r="E66" s="34" t="n">
        <v>0.025</v>
      </c>
      <c r="F66" s="35" t="n">
        <v>0.25</v>
      </c>
      <c r="G66" s="33" t="inlineStr">
        <is>
          <t>EUR</t>
        </is>
      </c>
      <c r="H66" s="33" t="inlineStr">
        <is>
          <t>S3</t>
        </is>
      </c>
    </row>
    <row r="67">
      <c r="A67" s="33" t="inlineStr">
        <is>
          <t>Ireland|Plus</t>
        </is>
      </c>
      <c r="B67" s="33" t="inlineStr">
        <is>
          <t>Ireland</t>
        </is>
      </c>
      <c r="C67" s="33" t="inlineStr">
        <is>
          <t>Plus</t>
        </is>
      </c>
      <c r="D67" s="34" t="n">
        <v>0.014</v>
      </c>
      <c r="E67" s="34" t="n">
        <v>0.024</v>
      </c>
      <c r="F67" s="35" t="n">
        <v>0.25</v>
      </c>
      <c r="G67" s="33" t="inlineStr">
        <is>
          <t>EUR</t>
        </is>
      </c>
      <c r="H67" s="33" t="inlineStr">
        <is>
          <t>S3</t>
        </is>
      </c>
    </row>
    <row r="68">
      <c r="A68" s="33" t="inlineStr">
        <is>
          <t>United States|Basic</t>
        </is>
      </c>
      <c r="B68" s="33" t="inlineStr">
        <is>
          <t>United States</t>
        </is>
      </c>
      <c r="C68" s="33" t="inlineStr">
        <is>
          <t>Basic</t>
        </is>
      </c>
      <c r="D68" s="34" t="n">
        <v>0.029</v>
      </c>
      <c r="E68" s="34" t="n">
        <v>0.039</v>
      </c>
      <c r="F68" s="35" t="n">
        <v>0.3</v>
      </c>
      <c r="G68" s="33" t="inlineStr">
        <is>
          <t>USD</t>
        </is>
      </c>
      <c r="H68" s="33" t="inlineStr">
        <is>
          <t>S1</t>
        </is>
      </c>
    </row>
    <row r="69">
      <c r="A69" s="33" t="inlineStr">
        <is>
          <t>United States|Grow</t>
        </is>
      </c>
      <c r="B69" s="33" t="inlineStr">
        <is>
          <t>United States</t>
        </is>
      </c>
      <c r="C69" s="33" t="inlineStr">
        <is>
          <t>Grow</t>
        </is>
      </c>
      <c r="D69" s="34" t="n">
        <v>0.027</v>
      </c>
      <c r="E69" s="34" t="n">
        <v>0.03700000000000001</v>
      </c>
      <c r="F69" s="35" t="n">
        <v>0.3</v>
      </c>
      <c r="G69" s="33" t="inlineStr">
        <is>
          <t>USD</t>
        </is>
      </c>
      <c r="H69" s="33" t="inlineStr">
        <is>
          <t>S1</t>
        </is>
      </c>
    </row>
    <row r="70">
      <c r="A70" s="33" t="inlineStr">
        <is>
          <t>United States|Advanced</t>
        </is>
      </c>
      <c r="B70" s="33" t="inlineStr">
        <is>
          <t>United States</t>
        </is>
      </c>
      <c r="C70" s="33" t="inlineStr">
        <is>
          <t>Advanced</t>
        </is>
      </c>
      <c r="D70" s="34" t="n">
        <v>0.025</v>
      </c>
      <c r="E70" s="34" t="n">
        <v>0.035</v>
      </c>
      <c r="F70" s="35" t="n">
        <v>0.3</v>
      </c>
      <c r="G70" s="33" t="inlineStr">
        <is>
          <t>USD</t>
        </is>
      </c>
      <c r="H70" s="33" t="inlineStr">
        <is>
          <t>S1</t>
        </is>
      </c>
    </row>
    <row r="71">
      <c r="A71" s="33" t="inlineStr">
        <is>
          <t>United States|Plus</t>
        </is>
      </c>
      <c r="B71" s="33" t="inlineStr">
        <is>
          <t>United States</t>
        </is>
      </c>
      <c r="C71" s="33" t="inlineStr">
        <is>
          <t>Plus</t>
        </is>
      </c>
      <c r="D71" s="34" t="n">
        <v>0.0225</v>
      </c>
      <c r="E71" s="34" t="n">
        <v>0.0325</v>
      </c>
      <c r="F71" s="35" t="n">
        <v>0.3</v>
      </c>
      <c r="G71" s="33" t="inlineStr">
        <is>
          <t>USD</t>
        </is>
      </c>
      <c r="H71" s="33" t="inlineStr">
        <is>
          <t>S1</t>
        </is>
      </c>
    </row>
    <row r="74">
      <c r="A74" s="5" t="inlineStr">
        <is>
          <t>Plan</t>
        </is>
      </c>
      <c r="B74" s="5" t="inlineStr">
        <is>
          <t>Shopify third-party transaction fee %</t>
        </is>
      </c>
      <c r="C74" s="5" t="inlineStr">
        <is>
          <t>Source</t>
        </is>
      </c>
    </row>
    <row r="75">
      <c r="A75" s="33" t="inlineStr">
        <is>
          <t>Basic</t>
        </is>
      </c>
      <c r="B75" s="34" t="n">
        <v>0.02</v>
      </c>
      <c r="C75" s="33" t="inlineStr">
        <is>
          <t>S1, S2, S3</t>
        </is>
      </c>
    </row>
    <row r="76">
      <c r="A76" s="33" t="inlineStr">
        <is>
          <t>Grow</t>
        </is>
      </c>
      <c r="B76" s="34" t="n">
        <v>0.01</v>
      </c>
      <c r="C76" s="33" t="inlineStr">
        <is>
          <t>S1, S2, S3</t>
        </is>
      </c>
    </row>
    <row r="77">
      <c r="A77" s="33" t="inlineStr">
        <is>
          <t>Advanced</t>
        </is>
      </c>
      <c r="B77" s="34" t="n">
        <v>0.006</v>
      </c>
      <c r="C77" s="33" t="inlineStr">
        <is>
          <t>S1, S2, S3</t>
        </is>
      </c>
    </row>
    <row r="78">
      <c r="A78" s="33" t="inlineStr">
        <is>
          <t>Plus</t>
        </is>
      </c>
      <c r="B78" s="34" t="n">
        <v>0.002</v>
      </c>
      <c r="C78" s="33" t="inlineStr">
        <is>
          <t>S1, S2, S3</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XNDR Ventures</dc:creator>
  <dcterms:created xsi:type="dcterms:W3CDTF">2026-10-11T17:41:59Z</dcterms:created>
  <dcterms:modified xsi:type="dcterms:W3CDTF">2026-10-11T17:41:59Z</dcterms:modified>
  <cp:lastModifiedBy>XNDR Ventures</cp:lastModifiedBy>
</cp:coreProperties>
</file>